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гковой автомобиль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<sst xmlns="http://schemas.openxmlformats.org/spreadsheetml/2006/main" count="46" uniqueCount="42">
  <si>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 xml:space="preserve">Балансовая стоимость </t>
  </si>
  <si>
    <t>Амортизация</t>
  </si>
  <si>
    <t>Налог на имущество</t>
  </si>
  <si>
    <t>Аванс</t>
  </si>
  <si>
    <t>Затраты для целей налогообложения</t>
  </si>
  <si>
    <t>Экономия по налогу на прибыль</t>
  </si>
  <si>
    <t>Расчет-ный период</t>
  </si>
  <si>
    <t>Кредит</t>
  </si>
  <si>
    <t>Погашение долга по кредиту</t>
  </si>
  <si>
    <t>Оплата процентов по кредиту</t>
  </si>
  <si>
    <t>Отток денежных средств</t>
  </si>
  <si>
    <t>Лизинговый взнос по договору (к уплате)</t>
  </si>
  <si>
    <t>Лизинговый платеж по договору (к начислению)</t>
  </si>
  <si>
    <t>НДС к возмещению</t>
  </si>
  <si>
    <t xml:space="preserve">Для примера сравним фактические затраты на  покупку автотранспорта стоимостью 10 000 у. е.  в кредит и по договору лизинга. </t>
  </si>
  <si>
    <t>Исходные данные</t>
  </si>
  <si>
    <t>Затраты на покупку автотранспорта в кредит и по договору лизинга</t>
  </si>
  <si>
    <t>Отток денежных средств (общая сумма выплат), у. е.</t>
  </si>
  <si>
    <t>Покупка в кредит</t>
  </si>
  <si>
    <t>Покупка в лизинг</t>
  </si>
  <si>
    <t>Экономия по налогу на прибыль, у. е.</t>
  </si>
  <si>
    <t>НДС к возмещению, у. е.</t>
  </si>
  <si>
    <t xml:space="preserve">Фактические затраты, у. е. </t>
  </si>
  <si>
    <t xml:space="preserve">Финансовые результаты при приобретении автотранспорта в кредит </t>
  </si>
  <si>
    <t>Финансовые результаты при приобретении автотранспорта по договору лизинга</t>
  </si>
  <si>
    <t>Остаток долга по кредиту</t>
  </si>
  <si>
    <t>В т.ч. НДС</t>
  </si>
  <si>
    <r>
      <t xml:space="preserve">Лизинговый взнос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сумма к уплате по договору лизинга (в том числе налог на имущество)</t>
    </r>
  </si>
  <si>
    <t>Лизинговый платеж — сумма к начислению (относится на затраты)</t>
  </si>
  <si>
    <t>Экономия по налогу на прибыль = 20% от затрат для целей налогообложения — лизингового платежа без НДС (т.к. они реально уменьшают налогооблагаемую базу прибыли)</t>
  </si>
  <si>
    <t>НДС к возмещению — НДС со всей суммы лизинговых платежей</t>
  </si>
  <si>
    <t>Стоимость автомобиля, у.е.</t>
  </si>
  <si>
    <t>Срок лизинга, месяцы</t>
  </si>
  <si>
    <t>Аванс, %</t>
  </si>
  <si>
    <t>Срок амортизации, месяцы</t>
  </si>
  <si>
    <t>Исходные данные и величина процентной ставки в данном примере являются условными.</t>
  </si>
  <si>
    <t>Вывод: после проведения расчетов выгода приобретения автотранспорта по договору лизинга становится очевидной: фактическая сумма, затраченная на покупку, в этом случае значительно ниже.</t>
  </si>
  <si>
    <r>
      <t>Сравнение фактических затрат на покупку автотранспорта в</t>
    </r>
    <r>
      <rPr>
        <b/>
        <sz val="14"/>
        <rFont val="Calibri"/>
        <family val="2"/>
      </rPr>
      <t> </t>
    </r>
    <r>
      <rPr>
        <b/>
        <sz val="14"/>
        <rFont val="Arial"/>
        <family val="2"/>
      </rPr>
      <t>кредит и</t>
    </r>
    <r>
      <rPr>
        <b/>
        <sz val="14"/>
        <rFont val="Calibri"/>
        <family val="2"/>
      </rPr>
      <t> </t>
    </r>
    <r>
      <rPr>
        <b/>
        <sz val="14"/>
        <rFont val="Arial"/>
        <family val="2"/>
      </rPr>
      <t>по</t>
    </r>
    <r>
      <rPr>
        <b/>
        <sz val="14"/>
        <rFont val="Calibri"/>
        <family val="2"/>
      </rPr>
      <t> </t>
    </r>
    <r>
      <rPr>
        <b/>
        <sz val="14"/>
        <rFont val="Arial"/>
        <family val="2"/>
      </rPr>
      <t>договору лизинга</t>
    </r>
  </si>
  <si>
    <r>
      <t>Приведенные ниже таблицы содержат данные о</t>
    </r>
    <r>
      <rPr>
        <sz val="12"/>
        <rFont val="Calibri"/>
        <family val="2"/>
      </rPr>
      <t> </t>
    </r>
    <r>
      <rPr>
        <sz val="12"/>
        <rFont val="Arial"/>
        <family val="2"/>
      </rPr>
      <t>финансовых результатах при приобретении автотранспорта в</t>
    </r>
    <r>
      <rPr>
        <sz val="12"/>
        <rFont val="Calibri"/>
        <family val="2"/>
      </rPr>
      <t> </t>
    </r>
    <r>
      <rPr>
        <sz val="12"/>
        <rFont val="Arial"/>
        <family val="2"/>
      </rPr>
      <t xml:space="preserve">кредит и по договору лизинга. </t>
    </r>
  </si>
  <si>
    <r>
      <t>При изменении исходных данных или процентной ставки соотношение  фактических затрат при покупке автотранспорта в</t>
    </r>
    <r>
      <rPr>
        <sz val="11"/>
        <rFont val="Calibri"/>
        <family val="2"/>
      </rPr>
      <t> </t>
    </r>
    <r>
      <rPr>
        <sz val="11"/>
        <rFont val="Arial"/>
        <family val="2"/>
      </rPr>
      <t>кредит и по договору лизинга сохраняется.</t>
    </r>
  </si>
  <si>
    <t>Показатели</t>
  </si>
  <si>
    <r>
      <t>Финансовые результаты являются условными и соответствуют принятым в данном примере исходным данным и величине процентной ставки.
Для того, чтобы сравнить фактические затраты на покупку автотранспорта в кредит и по договору лизинга для какого-то  конкретного случая, можно сделать точный расчет лизинговых платежей с помощью калькулятора на сайте, или обратиться для этого в офис нашей компании по телефону (351)</t>
    </r>
    <r>
      <rPr>
        <sz val="11"/>
        <rFont val="Calibri"/>
        <family val="2"/>
      </rPr>
      <t> </t>
    </r>
    <r>
      <rPr>
        <sz val="11"/>
        <rFont val="Arial"/>
        <family val="2"/>
      </rPr>
      <t>210 09 70, 71 или напишите нам письмо на: leasing@rosallaince.ru 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</si>
</sst>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0_р_."/>
  </numFmts>
  <fonts count="5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0"/>
      <color indexed="20"/>
      <name val="Times New Roman"/>
      <family val="1"/>
    </font>
    <font>
      <b/>
      <sz val="12"/>
      <name val="Times New Roman"/>
      <family val="1"/>
    </font>
    <font>
      <b/>
      <sz val="10"/>
      <color indexed="2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2"/>
      <name val="Calibri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9" fontId="0" fillId="0" borderId="0" xfId="58" applyFont="1" applyAlignment="1">
      <alignment/>
    </xf>
    <xf numFmtId="179" fontId="2" fillId="0" borderId="0" xfId="58" applyFont="1" applyBorder="1" applyAlignment="1">
      <alignment horizontal="center" wrapText="1"/>
    </xf>
    <xf numFmtId="179" fontId="3" fillId="0" borderId="0" xfId="58" applyFont="1" applyBorder="1" applyAlignment="1">
      <alignment horizontal="center" wrapText="1"/>
    </xf>
    <xf numFmtId="179" fontId="0" fillId="0" borderId="0" xfId="58" applyFont="1" applyBorder="1" applyAlignment="1">
      <alignment/>
    </xf>
    <xf numFmtId="0" fontId="1" fillId="0" borderId="10" xfId="0" applyFont="1" applyBorder="1" applyAlignment="1">
      <alignment horizontal="center" wrapText="1"/>
    </xf>
    <xf numFmtId="10" fontId="1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79" fontId="0" fillId="0" borderId="0" xfId="58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9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79" fontId="1" fillId="0" borderId="0" xfId="58" applyFont="1" applyAlignment="1">
      <alignment/>
    </xf>
    <xf numFmtId="0" fontId="1" fillId="0" borderId="14" xfId="0" applyFont="1" applyBorder="1" applyAlignment="1">
      <alignment horizontal="center" vertical="top" wrapText="1"/>
    </xf>
    <xf numFmtId="2" fontId="2" fillId="0" borderId="10" xfId="58" applyNumberFormat="1" applyFont="1" applyBorder="1" applyAlignment="1">
      <alignment horizontal="center"/>
    </xf>
    <xf numFmtId="2" fontId="2" fillId="0" borderId="15" xfId="58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58" applyNumberFormat="1" applyFont="1" applyBorder="1" applyAlignment="1">
      <alignment horizontal="center"/>
    </xf>
    <xf numFmtId="2" fontId="2" fillId="0" borderId="17" xfId="58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58" applyNumberFormat="1" applyFont="1" applyBorder="1" applyAlignment="1">
      <alignment horizontal="center"/>
    </xf>
    <xf numFmtId="2" fontId="2" fillId="0" borderId="19" xfId="58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58" applyNumberFormat="1" applyFont="1" applyBorder="1" applyAlignment="1">
      <alignment horizontal="center"/>
    </xf>
    <xf numFmtId="2" fontId="2" fillId="0" borderId="21" xfId="58" applyNumberFormat="1" applyFont="1" applyBorder="1" applyAlignment="1">
      <alignment horizontal="center"/>
    </xf>
    <xf numFmtId="2" fontId="2" fillId="0" borderId="22" xfId="58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58" applyNumberFormat="1" applyFont="1" applyBorder="1" applyAlignment="1">
      <alignment horizontal="center"/>
    </xf>
    <xf numFmtId="2" fontId="2" fillId="0" borderId="24" xfId="58" applyNumberFormat="1" applyFont="1" applyBorder="1" applyAlignment="1">
      <alignment horizontal="center"/>
    </xf>
    <xf numFmtId="2" fontId="2" fillId="0" borderId="25" xfId="58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0" fillId="0" borderId="15" xfId="0" applyNumberFormat="1" applyBorder="1" applyAlignment="1">
      <alignment horizont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/>
    </xf>
    <xf numFmtId="2" fontId="4" fillId="0" borderId="0" xfId="0" applyNumberFormat="1" applyFont="1" applyBorder="1" applyAlignment="1">
      <alignment horizontal="center"/>
    </xf>
    <xf numFmtId="2" fontId="0" fillId="0" borderId="15" xfId="58" applyNumberFormat="1" applyFont="1" applyBorder="1" applyAlignment="1">
      <alignment horizontal="center"/>
    </xf>
    <xf numFmtId="2" fontId="0" fillId="0" borderId="18" xfId="58" applyNumberFormat="1" applyFont="1" applyBorder="1" applyAlignment="1">
      <alignment horizontal="center"/>
    </xf>
    <xf numFmtId="2" fontId="0" fillId="0" borderId="19" xfId="58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4" xfId="58" applyNumberFormat="1" applyFont="1" applyBorder="1" applyAlignment="1">
      <alignment horizontal="center"/>
    </xf>
    <xf numFmtId="2" fontId="0" fillId="0" borderId="27" xfId="58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58" applyNumberFormat="1" applyFont="1" applyBorder="1" applyAlignment="1">
      <alignment horizontal="center"/>
    </xf>
    <xf numFmtId="2" fontId="0" fillId="0" borderId="26" xfId="58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4" fontId="12" fillId="0" borderId="27" xfId="58" applyNumberFormat="1" applyFont="1" applyBorder="1" applyAlignment="1">
      <alignment horizontal="left"/>
    </xf>
    <xf numFmtId="4" fontId="12" fillId="0" borderId="28" xfId="58" applyNumberFormat="1" applyFont="1" applyBorder="1" applyAlignment="1">
      <alignment horizontal="left"/>
    </xf>
    <xf numFmtId="10" fontId="12" fillId="0" borderId="28" xfId="58" applyNumberFormat="1" applyFont="1" applyBorder="1" applyAlignment="1">
      <alignment horizontal="left"/>
    </xf>
    <xf numFmtId="4" fontId="12" fillId="0" borderId="30" xfId="58" applyNumberFormat="1" applyFont="1" applyBorder="1" applyAlignment="1">
      <alignment horizontal="left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4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0" fontId="14" fillId="0" borderId="35" xfId="0" applyFont="1" applyBorder="1" applyAlignment="1">
      <alignment horizontal="center" vertical="top" wrapText="1"/>
    </xf>
    <xf numFmtId="0" fontId="12" fillId="0" borderId="37" xfId="0" applyFont="1" applyBorder="1" applyAlignment="1">
      <alignment/>
    </xf>
    <xf numFmtId="2" fontId="2" fillId="0" borderId="15" xfId="58" applyNumberFormat="1" applyFont="1" applyBorder="1" applyAlignment="1">
      <alignment horizontal="center" wrapText="1"/>
    </xf>
    <xf numFmtId="2" fontId="0" fillId="0" borderId="28" xfId="0" applyNumberForma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30" xfId="0" applyNumberFormat="1" applyFont="1" applyBorder="1" applyAlignment="1">
      <alignment horizontal="center"/>
    </xf>
    <xf numFmtId="0" fontId="12" fillId="0" borderId="2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2" fontId="0" fillId="0" borderId="22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 wrapText="1" shrinkToFit="1"/>
    </xf>
    <xf numFmtId="0" fontId="12" fillId="0" borderId="15" xfId="0" applyFont="1" applyBorder="1" applyAlignment="1">
      <alignment wrapText="1" shrinkToFit="1"/>
    </xf>
    <xf numFmtId="0" fontId="12" fillId="0" borderId="29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2" fillId="0" borderId="22" xfId="58" applyNumberFormat="1" applyFont="1" applyBorder="1" applyAlignment="1">
      <alignment horizontal="center" wrapText="1"/>
    </xf>
    <xf numFmtId="0" fontId="0" fillId="0" borderId="4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2</xdr:row>
      <xdr:rowOff>133350</xdr:rowOff>
    </xdr:from>
    <xdr:to>
      <xdr:col>12</xdr:col>
      <xdr:colOff>342900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514350"/>
          <a:ext cx="2286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.57421875" style="0" customWidth="1"/>
    <col min="2" max="2" width="7.00390625" style="0" customWidth="1"/>
    <col min="3" max="3" width="11.140625" style="0" customWidth="1"/>
    <col min="4" max="4" width="11.8515625" style="0" customWidth="1"/>
    <col min="5" max="5" width="10.421875" style="0" customWidth="1"/>
    <col min="6" max="6" width="12.8515625" style="0" customWidth="1"/>
    <col min="7" max="7" width="10.8515625" style="0" customWidth="1"/>
    <col min="8" max="8" width="11.8515625" style="0" customWidth="1"/>
    <col min="9" max="9" width="10.140625" style="0" customWidth="1"/>
    <col min="10" max="10" width="10.28125" style="0" customWidth="1"/>
    <col min="11" max="11" width="12.8515625" style="0" customWidth="1"/>
    <col min="12" max="12" width="11.28125" style="0" customWidth="1"/>
    <col min="13" max="13" width="11.7109375" style="0" customWidth="1"/>
  </cols>
  <sheetData>
    <row r="1" spans="2:9" ht="9" customHeight="1">
      <c r="B1" s="1"/>
      <c r="C1" s="1"/>
      <c r="D1" s="1"/>
      <c r="E1" s="1"/>
      <c r="F1" s="1"/>
      <c r="G1" s="1"/>
      <c r="H1" s="1"/>
      <c r="I1" s="1"/>
    </row>
    <row r="2" spans="2:14" ht="21" customHeight="1">
      <c r="B2" s="66" t="s">
        <v>37</v>
      </c>
      <c r="C2" s="66"/>
      <c r="D2" s="66"/>
      <c r="E2" s="66"/>
      <c r="F2" s="66"/>
      <c r="G2" s="66"/>
      <c r="H2" s="66"/>
      <c r="I2" s="66"/>
      <c r="J2" s="67"/>
      <c r="K2" s="67"/>
      <c r="L2" s="67"/>
      <c r="M2" s="67"/>
      <c r="N2" s="67"/>
    </row>
    <row r="3" spans="2:9" ht="13.5" customHeight="1">
      <c r="B3" s="16"/>
      <c r="C3" s="1"/>
      <c r="D3" s="1"/>
      <c r="E3" s="1"/>
      <c r="F3" s="1"/>
      <c r="G3" s="1"/>
      <c r="H3" s="1"/>
      <c r="I3" s="1"/>
    </row>
    <row r="4" spans="2:9" ht="30" customHeight="1">
      <c r="B4" s="95" t="s">
        <v>14</v>
      </c>
      <c r="C4" s="95"/>
      <c r="D4" s="95"/>
      <c r="E4" s="95"/>
      <c r="F4" s="95"/>
      <c r="G4" s="95"/>
      <c r="H4" s="95"/>
      <c r="I4" s="96"/>
    </row>
    <row r="5" spans="2:9" ht="33.75" customHeight="1">
      <c r="B5" s="95" t="s">
        <v>35</v>
      </c>
      <c r="C5" s="95"/>
      <c r="D5" s="95"/>
      <c r="E5" s="95"/>
      <c r="F5" s="95"/>
      <c r="G5" s="95"/>
      <c r="H5" s="95"/>
      <c r="I5" s="95"/>
    </row>
    <row r="6" ht="12.75">
      <c r="I6" s="1"/>
    </row>
    <row r="7" spans="1:9" ht="18">
      <c r="A7" s="1"/>
      <c r="B7" s="16" t="s">
        <v>15</v>
      </c>
      <c r="C7" s="1"/>
      <c r="D7" s="1"/>
      <c r="E7" s="1"/>
      <c r="F7" s="1"/>
      <c r="G7" s="1"/>
      <c r="H7" s="1"/>
      <c r="I7" s="1"/>
    </row>
    <row r="8" spans="1:9" ht="8.25" customHeight="1" thickBot="1">
      <c r="A8" s="1"/>
      <c r="B8" s="17"/>
      <c r="C8" s="1"/>
      <c r="D8" s="1"/>
      <c r="E8" s="1"/>
      <c r="F8" s="1"/>
      <c r="G8" s="1"/>
      <c r="H8" s="1"/>
      <c r="I8" s="1"/>
    </row>
    <row r="9" spans="1:7" ht="14.25">
      <c r="A9" s="1"/>
      <c r="B9" s="104" t="s">
        <v>31</v>
      </c>
      <c r="C9" s="105"/>
      <c r="D9" s="105"/>
      <c r="E9" s="105"/>
      <c r="F9" s="62">
        <v>10000</v>
      </c>
      <c r="G9" s="43"/>
    </row>
    <row r="10" spans="1:7" ht="14.25">
      <c r="A10" s="1"/>
      <c r="B10" s="106" t="s">
        <v>32</v>
      </c>
      <c r="C10" s="107"/>
      <c r="D10" s="107"/>
      <c r="E10" s="107"/>
      <c r="F10" s="63">
        <v>24</v>
      </c>
      <c r="G10" s="44"/>
    </row>
    <row r="11" spans="1:7" ht="14.25">
      <c r="A11" s="1"/>
      <c r="B11" s="108" t="s">
        <v>33</v>
      </c>
      <c r="C11" s="109"/>
      <c r="D11" s="109"/>
      <c r="E11" s="109"/>
      <c r="F11" s="64">
        <v>0.2</v>
      </c>
      <c r="G11" s="44"/>
    </row>
    <row r="12" spans="1:7" ht="15" thickBot="1">
      <c r="A12" s="1"/>
      <c r="B12" s="110" t="s">
        <v>34</v>
      </c>
      <c r="C12" s="111"/>
      <c r="D12" s="111"/>
      <c r="E12" s="111"/>
      <c r="F12" s="65">
        <v>48</v>
      </c>
      <c r="G12" s="44"/>
    </row>
    <row r="13" spans="1:9" ht="12.75">
      <c r="A13" s="4"/>
      <c r="I13" s="4"/>
    </row>
    <row r="14" spans="1:9" ht="18">
      <c r="A14" s="4"/>
      <c r="B14" s="16" t="s">
        <v>16</v>
      </c>
      <c r="I14" s="4"/>
    </row>
    <row r="15" spans="1:9" ht="7.5" customHeight="1" thickBot="1">
      <c r="A15" s="4"/>
      <c r="B15" s="4"/>
      <c r="C15" s="4"/>
      <c r="D15" s="4"/>
      <c r="E15" s="4"/>
      <c r="F15" s="3"/>
      <c r="G15" s="2"/>
      <c r="H15" s="2"/>
      <c r="I15" s="4"/>
    </row>
    <row r="16" spans="1:11" ht="16.5" thickBot="1">
      <c r="A16" s="4"/>
      <c r="B16" s="82" t="s">
        <v>40</v>
      </c>
      <c r="C16" s="83"/>
      <c r="D16" s="83"/>
      <c r="E16" s="83"/>
      <c r="F16" s="84"/>
      <c r="G16" s="85" t="s">
        <v>18</v>
      </c>
      <c r="H16" s="86"/>
      <c r="I16" s="85" t="s">
        <v>19</v>
      </c>
      <c r="J16" s="86"/>
      <c r="K16" s="40"/>
    </row>
    <row r="17" spans="1:11" ht="15" customHeight="1">
      <c r="A17" s="4"/>
      <c r="B17" s="97" t="s">
        <v>17</v>
      </c>
      <c r="C17" s="98"/>
      <c r="D17" s="98"/>
      <c r="E17" s="98"/>
      <c r="F17" s="98"/>
      <c r="G17" s="101">
        <f>K56</f>
        <v>11533.545197740112</v>
      </c>
      <c r="H17" s="101"/>
      <c r="I17" s="113">
        <f>E87</f>
        <v>11824.680000000004</v>
      </c>
      <c r="J17" s="114"/>
      <c r="K17" s="41"/>
    </row>
    <row r="18" spans="1:11" ht="15" customHeight="1">
      <c r="A18" s="4"/>
      <c r="B18" s="91" t="s">
        <v>20</v>
      </c>
      <c r="C18" s="92"/>
      <c r="D18" s="92"/>
      <c r="E18" s="92"/>
      <c r="F18" s="92"/>
      <c r="G18" s="102">
        <f>M56</f>
        <v>1154.166666666667</v>
      </c>
      <c r="H18" s="103"/>
      <c r="I18" s="87">
        <f>G87</f>
        <v>2004.1830508474588</v>
      </c>
      <c r="J18" s="88"/>
      <c r="K18" s="42"/>
    </row>
    <row r="19" spans="1:11" ht="15" customHeight="1">
      <c r="A19" s="4"/>
      <c r="B19" s="91" t="s">
        <v>21</v>
      </c>
      <c r="C19" s="92"/>
      <c r="D19" s="92"/>
      <c r="E19" s="92"/>
      <c r="F19" s="92"/>
      <c r="G19" s="112">
        <f>N56</f>
        <v>1525.4237288135594</v>
      </c>
      <c r="H19" s="112"/>
      <c r="I19" s="87">
        <f>H87</f>
        <v>1803.7647457627122</v>
      </c>
      <c r="J19" s="88"/>
      <c r="K19" s="42"/>
    </row>
    <row r="20" spans="1:11" ht="15" customHeight="1" thickBot="1">
      <c r="A20" s="4"/>
      <c r="B20" s="99" t="s">
        <v>22</v>
      </c>
      <c r="C20" s="100"/>
      <c r="D20" s="100"/>
      <c r="E20" s="100"/>
      <c r="F20" s="100"/>
      <c r="G20" s="89">
        <f>G17-G18-G19</f>
        <v>8853.954802259886</v>
      </c>
      <c r="H20" s="89"/>
      <c r="I20" s="89">
        <f>I17-I18-I19</f>
        <v>8016.732203389833</v>
      </c>
      <c r="J20" s="90"/>
      <c r="K20" s="42"/>
    </row>
    <row r="21" ht="15" customHeight="1" thickBot="1">
      <c r="A21" s="4"/>
    </row>
    <row r="22" spans="1:14" ht="69" customHeight="1">
      <c r="A22" s="4"/>
      <c r="B22" s="70" t="s">
        <v>36</v>
      </c>
      <c r="C22" s="71"/>
      <c r="D22" s="71"/>
      <c r="E22" s="71"/>
      <c r="F22" s="71"/>
      <c r="G22" s="72"/>
      <c r="H22" s="46"/>
      <c r="I22" s="76" t="s">
        <v>41</v>
      </c>
      <c r="J22" s="77"/>
      <c r="K22" s="77"/>
      <c r="L22" s="77"/>
      <c r="M22" s="77"/>
      <c r="N22" s="78"/>
    </row>
    <row r="23" spans="1:14" ht="80.25" customHeight="1" thickBot="1">
      <c r="A23" s="4"/>
      <c r="B23" s="73" t="s">
        <v>39</v>
      </c>
      <c r="C23" s="74"/>
      <c r="D23" s="74"/>
      <c r="E23" s="74"/>
      <c r="F23" s="74"/>
      <c r="G23" s="75"/>
      <c r="H23" s="9"/>
      <c r="I23" s="79"/>
      <c r="J23" s="80"/>
      <c r="K23" s="80"/>
      <c r="L23" s="80"/>
      <c r="M23" s="80"/>
      <c r="N23" s="81"/>
    </row>
    <row r="24" spans="1:14" ht="9" customHeight="1">
      <c r="A24" s="4"/>
      <c r="B24" s="47"/>
      <c r="C24" s="48"/>
      <c r="D24" s="48"/>
      <c r="E24" s="48"/>
      <c r="F24" s="48"/>
      <c r="G24" s="48"/>
      <c r="H24" s="9"/>
      <c r="I24" s="47"/>
      <c r="J24" s="49"/>
      <c r="K24" s="49"/>
      <c r="L24" s="49"/>
      <c r="M24" s="49"/>
      <c r="N24" s="49"/>
    </row>
    <row r="25" spans="2:9" ht="36" customHeight="1">
      <c r="B25" s="68" t="s">
        <v>38</v>
      </c>
      <c r="C25" s="68"/>
      <c r="D25" s="68"/>
      <c r="E25" s="68"/>
      <c r="F25" s="68"/>
      <c r="G25" s="68"/>
      <c r="H25" s="69"/>
      <c r="I25" s="69"/>
    </row>
    <row r="27" ht="18">
      <c r="B27" s="16" t="s">
        <v>23</v>
      </c>
    </row>
    <row r="28" ht="13.5" thickBot="1"/>
    <row r="29" spans="2:14" ht="48">
      <c r="B29" s="18" t="s">
        <v>6</v>
      </c>
      <c r="C29" s="18" t="s">
        <v>0</v>
      </c>
      <c r="D29" s="19" t="s">
        <v>1</v>
      </c>
      <c r="E29" s="18" t="s">
        <v>2</v>
      </c>
      <c r="F29" s="18" t="s">
        <v>3</v>
      </c>
      <c r="G29" s="19" t="s">
        <v>7</v>
      </c>
      <c r="H29" s="19" t="s">
        <v>25</v>
      </c>
      <c r="I29" s="18" t="s">
        <v>8</v>
      </c>
      <c r="J29" s="18" t="s">
        <v>9</v>
      </c>
      <c r="K29" s="18" t="s">
        <v>10</v>
      </c>
      <c r="L29" s="18" t="s">
        <v>4</v>
      </c>
      <c r="M29" s="18" t="s">
        <v>5</v>
      </c>
      <c r="N29" s="18" t="s">
        <v>13</v>
      </c>
    </row>
    <row r="30" spans="2:14" ht="13.5" thickBot="1">
      <c r="B30" s="15"/>
      <c r="C30" s="15"/>
      <c r="D30" s="5"/>
      <c r="E30" s="15"/>
      <c r="F30" s="15"/>
      <c r="G30" s="5"/>
      <c r="H30" s="5"/>
      <c r="I30" s="15"/>
      <c r="J30" s="6">
        <v>0.15</v>
      </c>
      <c r="K30" s="15"/>
      <c r="L30" s="15"/>
      <c r="M30" s="15"/>
      <c r="N30" s="15"/>
    </row>
    <row r="31" spans="2:14" ht="12.75">
      <c r="B31" s="28">
        <v>0</v>
      </c>
      <c r="C31" s="29"/>
      <c r="D31" s="29"/>
      <c r="E31" s="29"/>
      <c r="F31" s="29">
        <f>F9*F11</f>
        <v>2000</v>
      </c>
      <c r="G31" s="29">
        <f>F9-F31</f>
        <v>8000</v>
      </c>
      <c r="H31" s="29"/>
      <c r="I31" s="29"/>
      <c r="J31" s="29"/>
      <c r="K31" s="30">
        <f>F31+I31+J31+E31</f>
        <v>2000</v>
      </c>
      <c r="L31" s="30">
        <f>D31+J31</f>
        <v>0</v>
      </c>
      <c r="M31" s="30">
        <f>L31*0.24</f>
        <v>0</v>
      </c>
      <c r="N31" s="31">
        <f>(G31+F31)*18/118</f>
        <v>1525.4237288135594</v>
      </c>
    </row>
    <row r="32" spans="2:14" ht="12.75">
      <c r="B32" s="36">
        <v>1</v>
      </c>
      <c r="C32" s="23">
        <f>F9/1.18</f>
        <v>8474.57627118644</v>
      </c>
      <c r="D32" s="23">
        <f aca="true" t="shared" si="0" ref="D32:D55">($F$9/1.18)/$F$12</f>
        <v>176.5536723163842</v>
      </c>
      <c r="E32" s="23"/>
      <c r="F32" s="23"/>
      <c r="G32" s="23"/>
      <c r="H32" s="23">
        <f>G31</f>
        <v>8000</v>
      </c>
      <c r="I32" s="23">
        <f aca="true" t="shared" si="1" ref="I32:I55">$G$31/$F$10</f>
        <v>333.3333333333333</v>
      </c>
      <c r="J32" s="23">
        <f aca="true" t="shared" si="2" ref="J32:J55">H32*$J$30/12</f>
        <v>100</v>
      </c>
      <c r="K32" s="24">
        <f>F32+I32+J32+E32</f>
        <v>433.3333333333333</v>
      </c>
      <c r="L32" s="24">
        <f>D32+J32+E32</f>
        <v>276.5536723163842</v>
      </c>
      <c r="M32" s="24">
        <f>L32*0.2</f>
        <v>55.310734463276845</v>
      </c>
      <c r="N32" s="37"/>
    </row>
    <row r="33" spans="2:14" ht="12.75">
      <c r="B33" s="36">
        <v>2</v>
      </c>
      <c r="C33" s="23">
        <f aca="true" t="shared" si="3" ref="C33:C55">C32-D32</f>
        <v>8298.022598870057</v>
      </c>
      <c r="D33" s="23">
        <f t="shared" si="0"/>
        <v>176.5536723163842</v>
      </c>
      <c r="E33" s="23"/>
      <c r="F33" s="23"/>
      <c r="G33" s="23"/>
      <c r="H33" s="23">
        <f>H32-I32</f>
        <v>7666.666666666667</v>
      </c>
      <c r="I33" s="23">
        <f t="shared" si="1"/>
        <v>333.3333333333333</v>
      </c>
      <c r="J33" s="23">
        <f t="shared" si="2"/>
        <v>95.83333333333333</v>
      </c>
      <c r="K33" s="24">
        <f>F33+I33+J33+E33</f>
        <v>429.16666666666663</v>
      </c>
      <c r="L33" s="24">
        <f aca="true" t="shared" si="4" ref="L33:L55">D33+J33+E33</f>
        <v>272.38700564971754</v>
      </c>
      <c r="M33" s="24">
        <f aca="true" t="shared" si="5" ref="M33:M55">L33*0.2</f>
        <v>54.47740112994351</v>
      </c>
      <c r="N33" s="37"/>
    </row>
    <row r="34" spans="2:14" ht="13.5" customHeight="1">
      <c r="B34" s="36">
        <v>3</v>
      </c>
      <c r="C34" s="23">
        <f t="shared" si="3"/>
        <v>8121.468926553673</v>
      </c>
      <c r="D34" s="23">
        <f t="shared" si="0"/>
        <v>176.5536723163842</v>
      </c>
      <c r="E34" s="23"/>
      <c r="F34" s="23"/>
      <c r="G34" s="23"/>
      <c r="H34" s="23">
        <f aca="true" t="shared" si="6" ref="H34:H55">H33-I33</f>
        <v>7333.333333333334</v>
      </c>
      <c r="I34" s="23">
        <f t="shared" si="1"/>
        <v>333.3333333333333</v>
      </c>
      <c r="J34" s="23">
        <f t="shared" si="2"/>
        <v>91.66666666666667</v>
      </c>
      <c r="K34" s="24">
        <f aca="true" t="shared" si="7" ref="K34:K55">F34+I34+J34+E34</f>
        <v>425</v>
      </c>
      <c r="L34" s="24">
        <f t="shared" si="4"/>
        <v>268.22033898305085</v>
      </c>
      <c r="M34" s="24">
        <f t="shared" si="5"/>
        <v>53.64406779661017</v>
      </c>
      <c r="N34" s="37"/>
    </row>
    <row r="35" spans="2:14" ht="12.75">
      <c r="B35" s="36">
        <v>4</v>
      </c>
      <c r="C35" s="23">
        <f t="shared" si="3"/>
        <v>7944.9152542372885</v>
      </c>
      <c r="D35" s="23">
        <f t="shared" si="0"/>
        <v>176.5536723163842</v>
      </c>
      <c r="E35" s="23"/>
      <c r="F35" s="23"/>
      <c r="G35" s="23"/>
      <c r="H35" s="23">
        <f t="shared" si="6"/>
        <v>7000.000000000001</v>
      </c>
      <c r="I35" s="23">
        <f t="shared" si="1"/>
        <v>333.3333333333333</v>
      </c>
      <c r="J35" s="23">
        <f t="shared" si="2"/>
        <v>87.5</v>
      </c>
      <c r="K35" s="24">
        <f>F35+I35+J35+E35</f>
        <v>420.8333333333333</v>
      </c>
      <c r="L35" s="24">
        <f t="shared" si="4"/>
        <v>264.0536723163842</v>
      </c>
      <c r="M35" s="24">
        <f t="shared" si="5"/>
        <v>52.810734463276845</v>
      </c>
      <c r="N35" s="37"/>
    </row>
    <row r="36" spans="2:14" ht="12.75">
      <c r="B36" s="36">
        <v>5</v>
      </c>
      <c r="C36" s="23">
        <f t="shared" si="3"/>
        <v>7768.361581920904</v>
      </c>
      <c r="D36" s="23">
        <f t="shared" si="0"/>
        <v>176.5536723163842</v>
      </c>
      <c r="E36" s="23"/>
      <c r="F36" s="23"/>
      <c r="G36" s="23"/>
      <c r="H36" s="23">
        <f t="shared" si="6"/>
        <v>6666.666666666668</v>
      </c>
      <c r="I36" s="23">
        <f t="shared" si="1"/>
        <v>333.3333333333333</v>
      </c>
      <c r="J36" s="23">
        <f t="shared" si="2"/>
        <v>83.33333333333334</v>
      </c>
      <c r="K36" s="24">
        <f t="shared" si="7"/>
        <v>416.66666666666663</v>
      </c>
      <c r="L36" s="24">
        <f t="shared" si="4"/>
        <v>259.88700564971754</v>
      </c>
      <c r="M36" s="24">
        <f t="shared" si="5"/>
        <v>51.97740112994351</v>
      </c>
      <c r="N36" s="37"/>
    </row>
    <row r="37" spans="2:14" ht="12.75">
      <c r="B37" s="36">
        <v>6</v>
      </c>
      <c r="C37" s="23">
        <f t="shared" si="3"/>
        <v>7591.80790960452</v>
      </c>
      <c r="D37" s="23">
        <f t="shared" si="0"/>
        <v>176.5536723163842</v>
      </c>
      <c r="E37" s="23"/>
      <c r="F37" s="23"/>
      <c r="G37" s="23"/>
      <c r="H37" s="23">
        <f t="shared" si="6"/>
        <v>6333.333333333335</v>
      </c>
      <c r="I37" s="23">
        <f t="shared" si="1"/>
        <v>333.3333333333333</v>
      </c>
      <c r="J37" s="23">
        <f t="shared" si="2"/>
        <v>79.16666666666669</v>
      </c>
      <c r="K37" s="24">
        <f t="shared" si="7"/>
        <v>412.5</v>
      </c>
      <c r="L37" s="24">
        <f t="shared" si="4"/>
        <v>255.72033898305088</v>
      </c>
      <c r="M37" s="24">
        <f t="shared" si="5"/>
        <v>51.14406779661018</v>
      </c>
      <c r="N37" s="37"/>
    </row>
    <row r="38" spans="2:14" ht="12.75">
      <c r="B38" s="36">
        <v>7</v>
      </c>
      <c r="C38" s="23">
        <f t="shared" si="3"/>
        <v>7415.254237288136</v>
      </c>
      <c r="D38" s="23">
        <f t="shared" si="0"/>
        <v>176.5536723163842</v>
      </c>
      <c r="E38" s="23"/>
      <c r="F38" s="23"/>
      <c r="G38" s="23"/>
      <c r="H38" s="23">
        <f t="shared" si="6"/>
        <v>6000.000000000002</v>
      </c>
      <c r="I38" s="23">
        <f t="shared" si="1"/>
        <v>333.3333333333333</v>
      </c>
      <c r="J38" s="23">
        <f t="shared" si="2"/>
        <v>75.00000000000001</v>
      </c>
      <c r="K38" s="24">
        <f t="shared" si="7"/>
        <v>408.3333333333333</v>
      </c>
      <c r="L38" s="24">
        <f t="shared" si="4"/>
        <v>251.55367231638422</v>
      </c>
      <c r="M38" s="24">
        <f t="shared" si="5"/>
        <v>50.310734463276845</v>
      </c>
      <c r="N38" s="37"/>
    </row>
    <row r="39" spans="2:14" ht="12.75">
      <c r="B39" s="36">
        <v>8</v>
      </c>
      <c r="C39" s="23">
        <f t="shared" si="3"/>
        <v>7238.700564971752</v>
      </c>
      <c r="D39" s="23">
        <f t="shared" si="0"/>
        <v>176.5536723163842</v>
      </c>
      <c r="E39" s="23"/>
      <c r="F39" s="23"/>
      <c r="G39" s="23"/>
      <c r="H39" s="23">
        <f t="shared" si="6"/>
        <v>5666.666666666669</v>
      </c>
      <c r="I39" s="23">
        <f t="shared" si="1"/>
        <v>333.3333333333333</v>
      </c>
      <c r="J39" s="23">
        <f t="shared" si="2"/>
        <v>70.83333333333336</v>
      </c>
      <c r="K39" s="24">
        <f t="shared" si="7"/>
        <v>404.1666666666667</v>
      </c>
      <c r="L39" s="24">
        <f t="shared" si="4"/>
        <v>247.38700564971754</v>
      </c>
      <c r="M39" s="24">
        <f t="shared" si="5"/>
        <v>49.47740112994351</v>
      </c>
      <c r="N39" s="37"/>
    </row>
    <row r="40" spans="2:14" ht="12.75">
      <c r="B40" s="36">
        <v>9</v>
      </c>
      <c r="C40" s="23">
        <f t="shared" si="3"/>
        <v>7062.146892655368</v>
      </c>
      <c r="D40" s="23">
        <f t="shared" si="0"/>
        <v>176.5536723163842</v>
      </c>
      <c r="E40" s="23"/>
      <c r="F40" s="23"/>
      <c r="G40" s="23"/>
      <c r="H40" s="23">
        <f t="shared" si="6"/>
        <v>5333.333333333336</v>
      </c>
      <c r="I40" s="23">
        <f t="shared" si="1"/>
        <v>333.3333333333333</v>
      </c>
      <c r="J40" s="23">
        <f t="shared" si="2"/>
        <v>66.6666666666667</v>
      </c>
      <c r="K40" s="24">
        <f t="shared" si="7"/>
        <v>400</v>
      </c>
      <c r="L40" s="24">
        <f t="shared" si="4"/>
        <v>243.2203389830509</v>
      </c>
      <c r="M40" s="24">
        <f t="shared" si="5"/>
        <v>48.64406779661019</v>
      </c>
      <c r="N40" s="37"/>
    </row>
    <row r="41" spans="2:14" ht="12.75">
      <c r="B41" s="36">
        <v>10</v>
      </c>
      <c r="C41" s="23">
        <f t="shared" si="3"/>
        <v>6885.593220338984</v>
      </c>
      <c r="D41" s="23">
        <f t="shared" si="0"/>
        <v>176.5536723163842</v>
      </c>
      <c r="E41" s="23"/>
      <c r="F41" s="23"/>
      <c r="G41" s="23"/>
      <c r="H41" s="23">
        <f t="shared" si="6"/>
        <v>5000.000000000003</v>
      </c>
      <c r="I41" s="23">
        <f t="shared" si="1"/>
        <v>333.3333333333333</v>
      </c>
      <c r="J41" s="23">
        <f t="shared" si="2"/>
        <v>62.50000000000003</v>
      </c>
      <c r="K41" s="24">
        <f t="shared" si="7"/>
        <v>395.83333333333337</v>
      </c>
      <c r="L41" s="24">
        <f t="shared" si="4"/>
        <v>239.05367231638422</v>
      </c>
      <c r="M41" s="24">
        <f t="shared" si="5"/>
        <v>47.810734463276845</v>
      </c>
      <c r="N41" s="37"/>
    </row>
    <row r="42" spans="2:14" ht="12.75">
      <c r="B42" s="36">
        <v>11</v>
      </c>
      <c r="C42" s="23">
        <f t="shared" si="3"/>
        <v>6709.0395480226</v>
      </c>
      <c r="D42" s="23">
        <f t="shared" si="0"/>
        <v>176.5536723163842</v>
      </c>
      <c r="E42" s="23"/>
      <c r="F42" s="23"/>
      <c r="G42" s="23"/>
      <c r="H42" s="23">
        <f t="shared" si="6"/>
        <v>4666.66666666667</v>
      </c>
      <c r="I42" s="23">
        <f t="shared" si="1"/>
        <v>333.3333333333333</v>
      </c>
      <c r="J42" s="23">
        <f t="shared" si="2"/>
        <v>58.33333333333337</v>
      </c>
      <c r="K42" s="24">
        <f t="shared" si="7"/>
        <v>391.6666666666667</v>
      </c>
      <c r="L42" s="24">
        <f t="shared" si="4"/>
        <v>234.88700564971757</v>
      </c>
      <c r="M42" s="24">
        <f t="shared" si="5"/>
        <v>46.977401129943516</v>
      </c>
      <c r="N42" s="37"/>
    </row>
    <row r="43" spans="2:14" ht="12.75">
      <c r="B43" s="36">
        <v>12</v>
      </c>
      <c r="C43" s="23">
        <f t="shared" si="3"/>
        <v>6532.485875706216</v>
      </c>
      <c r="D43" s="23">
        <f t="shared" si="0"/>
        <v>176.5536723163842</v>
      </c>
      <c r="E43" s="23">
        <f>(C32+C43)/2*0.022</f>
        <v>165.0776836158192</v>
      </c>
      <c r="F43" s="23"/>
      <c r="G43" s="23"/>
      <c r="H43" s="23">
        <f t="shared" si="6"/>
        <v>4333.333333333337</v>
      </c>
      <c r="I43" s="23">
        <f t="shared" si="1"/>
        <v>333.3333333333333</v>
      </c>
      <c r="J43" s="23">
        <f t="shared" si="2"/>
        <v>54.16666666666671</v>
      </c>
      <c r="K43" s="24">
        <f t="shared" si="7"/>
        <v>552.5776836158192</v>
      </c>
      <c r="L43" s="24">
        <f t="shared" si="4"/>
        <v>395.79802259887015</v>
      </c>
      <c r="M43" s="24">
        <f t="shared" si="5"/>
        <v>79.15960451977404</v>
      </c>
      <c r="N43" s="37"/>
    </row>
    <row r="44" spans="2:14" ht="12.75">
      <c r="B44" s="36">
        <v>13</v>
      </c>
      <c r="C44" s="23">
        <f t="shared" si="3"/>
        <v>6355.932203389832</v>
      </c>
      <c r="D44" s="23">
        <f t="shared" si="0"/>
        <v>176.5536723163842</v>
      </c>
      <c r="E44" s="23"/>
      <c r="F44" s="23"/>
      <c r="G44" s="23"/>
      <c r="H44" s="23">
        <f t="shared" si="6"/>
        <v>4000.000000000003</v>
      </c>
      <c r="I44" s="23">
        <f t="shared" si="1"/>
        <v>333.3333333333333</v>
      </c>
      <c r="J44" s="23">
        <f t="shared" si="2"/>
        <v>50.000000000000036</v>
      </c>
      <c r="K44" s="24">
        <f t="shared" si="7"/>
        <v>383.33333333333337</v>
      </c>
      <c r="L44" s="24">
        <f t="shared" si="4"/>
        <v>226.55367231638422</v>
      </c>
      <c r="M44" s="24">
        <f t="shared" si="5"/>
        <v>45.310734463276845</v>
      </c>
      <c r="N44" s="37"/>
    </row>
    <row r="45" spans="2:14" ht="12.75">
      <c r="B45" s="36">
        <v>14</v>
      </c>
      <c r="C45" s="23">
        <f t="shared" si="3"/>
        <v>6179.378531073447</v>
      </c>
      <c r="D45" s="23">
        <f t="shared" si="0"/>
        <v>176.5536723163842</v>
      </c>
      <c r="E45" s="23"/>
      <c r="F45" s="23"/>
      <c r="G45" s="23"/>
      <c r="H45" s="23">
        <f t="shared" si="6"/>
        <v>3666.6666666666697</v>
      </c>
      <c r="I45" s="23">
        <f t="shared" si="1"/>
        <v>333.3333333333333</v>
      </c>
      <c r="J45" s="23">
        <f t="shared" si="2"/>
        <v>45.83333333333337</v>
      </c>
      <c r="K45" s="24">
        <f t="shared" si="7"/>
        <v>379.1666666666667</v>
      </c>
      <c r="L45" s="24">
        <f t="shared" si="4"/>
        <v>222.38700564971757</v>
      </c>
      <c r="M45" s="24">
        <f t="shared" si="5"/>
        <v>44.477401129943516</v>
      </c>
      <c r="N45" s="37"/>
    </row>
    <row r="46" spans="2:14" s="7" customFormat="1" ht="12.75">
      <c r="B46" s="36">
        <v>15</v>
      </c>
      <c r="C46" s="23">
        <f t="shared" si="3"/>
        <v>6002.824858757063</v>
      </c>
      <c r="D46" s="23">
        <f t="shared" si="0"/>
        <v>176.5536723163842</v>
      </c>
      <c r="E46" s="23"/>
      <c r="F46" s="23"/>
      <c r="G46" s="23"/>
      <c r="H46" s="23">
        <f t="shared" si="6"/>
        <v>3333.333333333336</v>
      </c>
      <c r="I46" s="23">
        <f t="shared" si="1"/>
        <v>333.3333333333333</v>
      </c>
      <c r="J46" s="23">
        <f t="shared" si="2"/>
        <v>41.6666666666667</v>
      </c>
      <c r="K46" s="24">
        <f t="shared" si="7"/>
        <v>375</v>
      </c>
      <c r="L46" s="24">
        <f t="shared" si="4"/>
        <v>218.2203389830509</v>
      </c>
      <c r="M46" s="24">
        <f t="shared" si="5"/>
        <v>43.64406779661019</v>
      </c>
      <c r="N46" s="37"/>
    </row>
    <row r="47" spans="2:14" ht="12.75">
      <c r="B47" s="36">
        <v>16</v>
      </c>
      <c r="C47" s="23">
        <f t="shared" si="3"/>
        <v>5826.271186440679</v>
      </c>
      <c r="D47" s="23">
        <f t="shared" si="0"/>
        <v>176.5536723163842</v>
      </c>
      <c r="E47" s="23"/>
      <c r="F47" s="23"/>
      <c r="G47" s="23"/>
      <c r="H47" s="23">
        <f t="shared" si="6"/>
        <v>3000.0000000000027</v>
      </c>
      <c r="I47" s="23">
        <f t="shared" si="1"/>
        <v>333.3333333333333</v>
      </c>
      <c r="J47" s="23">
        <f t="shared" si="2"/>
        <v>37.500000000000036</v>
      </c>
      <c r="K47" s="24">
        <f t="shared" si="7"/>
        <v>370.83333333333337</v>
      </c>
      <c r="L47" s="24">
        <f t="shared" si="4"/>
        <v>214.05367231638422</v>
      </c>
      <c r="M47" s="24">
        <f t="shared" si="5"/>
        <v>42.810734463276845</v>
      </c>
      <c r="N47" s="37"/>
    </row>
    <row r="48" spans="2:14" ht="12.75">
      <c r="B48" s="36">
        <v>17</v>
      </c>
      <c r="C48" s="23">
        <f t="shared" si="3"/>
        <v>5649.717514124295</v>
      </c>
      <c r="D48" s="23">
        <f t="shared" si="0"/>
        <v>176.5536723163842</v>
      </c>
      <c r="E48" s="23"/>
      <c r="F48" s="23"/>
      <c r="G48" s="23"/>
      <c r="H48" s="23">
        <f t="shared" si="6"/>
        <v>2666.6666666666692</v>
      </c>
      <c r="I48" s="23">
        <f t="shared" si="1"/>
        <v>333.3333333333333</v>
      </c>
      <c r="J48" s="23">
        <f t="shared" si="2"/>
        <v>33.333333333333364</v>
      </c>
      <c r="K48" s="24">
        <f t="shared" si="7"/>
        <v>366.6666666666667</v>
      </c>
      <c r="L48" s="24">
        <f t="shared" si="4"/>
        <v>209.88700564971757</v>
      </c>
      <c r="M48" s="24">
        <f t="shared" si="5"/>
        <v>41.977401129943516</v>
      </c>
      <c r="N48" s="37"/>
    </row>
    <row r="49" spans="2:14" s="9" customFormat="1" ht="12.75">
      <c r="B49" s="36">
        <v>18</v>
      </c>
      <c r="C49" s="23">
        <f t="shared" si="3"/>
        <v>5473.163841807911</v>
      </c>
      <c r="D49" s="23">
        <f t="shared" si="0"/>
        <v>176.5536723163842</v>
      </c>
      <c r="E49" s="23"/>
      <c r="F49" s="23"/>
      <c r="G49" s="23"/>
      <c r="H49" s="23">
        <f t="shared" si="6"/>
        <v>2333.3333333333358</v>
      </c>
      <c r="I49" s="23">
        <f t="shared" si="1"/>
        <v>333.3333333333333</v>
      </c>
      <c r="J49" s="23">
        <f t="shared" si="2"/>
        <v>29.166666666666696</v>
      </c>
      <c r="K49" s="24">
        <f t="shared" si="7"/>
        <v>362.5</v>
      </c>
      <c r="L49" s="24">
        <f t="shared" si="4"/>
        <v>205.72033898305088</v>
      </c>
      <c r="M49" s="24">
        <f t="shared" si="5"/>
        <v>41.14406779661018</v>
      </c>
      <c r="N49" s="37"/>
    </row>
    <row r="50" spans="2:14" ht="12.75">
      <c r="B50" s="36">
        <v>19</v>
      </c>
      <c r="C50" s="23">
        <f t="shared" si="3"/>
        <v>5296.610169491527</v>
      </c>
      <c r="D50" s="23">
        <f t="shared" si="0"/>
        <v>176.5536723163842</v>
      </c>
      <c r="E50" s="23"/>
      <c r="F50" s="23"/>
      <c r="G50" s="23"/>
      <c r="H50" s="23">
        <f t="shared" si="6"/>
        <v>2000.0000000000025</v>
      </c>
      <c r="I50" s="23">
        <f t="shared" si="1"/>
        <v>333.3333333333333</v>
      </c>
      <c r="J50" s="23">
        <f t="shared" si="2"/>
        <v>25.00000000000003</v>
      </c>
      <c r="K50" s="24">
        <f t="shared" si="7"/>
        <v>358.33333333333337</v>
      </c>
      <c r="L50" s="24">
        <f t="shared" si="4"/>
        <v>201.55367231638422</v>
      </c>
      <c r="M50" s="24">
        <f t="shared" si="5"/>
        <v>40.310734463276845</v>
      </c>
      <c r="N50" s="37"/>
    </row>
    <row r="51" spans="2:14" ht="12.75">
      <c r="B51" s="36">
        <v>20</v>
      </c>
      <c r="C51" s="23">
        <f t="shared" si="3"/>
        <v>5120.056497175143</v>
      </c>
      <c r="D51" s="23">
        <f t="shared" si="0"/>
        <v>176.5536723163842</v>
      </c>
      <c r="E51" s="23"/>
      <c r="F51" s="23"/>
      <c r="G51" s="23"/>
      <c r="H51" s="23">
        <f t="shared" si="6"/>
        <v>1666.6666666666692</v>
      </c>
      <c r="I51" s="23">
        <f t="shared" si="1"/>
        <v>333.3333333333333</v>
      </c>
      <c r="J51" s="23">
        <f t="shared" si="2"/>
        <v>20.833333333333364</v>
      </c>
      <c r="K51" s="24">
        <f t="shared" si="7"/>
        <v>354.1666666666667</v>
      </c>
      <c r="L51" s="24">
        <f t="shared" si="4"/>
        <v>197.38700564971757</v>
      </c>
      <c r="M51" s="24">
        <f t="shared" si="5"/>
        <v>39.477401129943516</v>
      </c>
      <c r="N51" s="37"/>
    </row>
    <row r="52" spans="2:14" ht="12.75">
      <c r="B52" s="36">
        <v>21</v>
      </c>
      <c r="C52" s="23">
        <f t="shared" si="3"/>
        <v>4943.502824858759</v>
      </c>
      <c r="D52" s="23">
        <f t="shared" si="0"/>
        <v>176.5536723163842</v>
      </c>
      <c r="E52" s="23"/>
      <c r="F52" s="23"/>
      <c r="G52" s="23"/>
      <c r="H52" s="23">
        <f t="shared" si="6"/>
        <v>1333.333333333336</v>
      </c>
      <c r="I52" s="23">
        <f t="shared" si="1"/>
        <v>333.3333333333333</v>
      </c>
      <c r="J52" s="23">
        <f t="shared" si="2"/>
        <v>16.6666666666667</v>
      </c>
      <c r="K52" s="24">
        <f t="shared" si="7"/>
        <v>350</v>
      </c>
      <c r="L52" s="24">
        <f t="shared" si="4"/>
        <v>193.2203389830509</v>
      </c>
      <c r="M52" s="24">
        <f t="shared" si="5"/>
        <v>38.64406779661019</v>
      </c>
      <c r="N52" s="37"/>
    </row>
    <row r="53" spans="2:14" ht="12.75">
      <c r="B53" s="36">
        <v>22</v>
      </c>
      <c r="C53" s="23">
        <f t="shared" si="3"/>
        <v>4766.949152542375</v>
      </c>
      <c r="D53" s="23">
        <f t="shared" si="0"/>
        <v>176.5536723163842</v>
      </c>
      <c r="E53" s="23"/>
      <c r="F53" s="23"/>
      <c r="G53" s="23"/>
      <c r="H53" s="23">
        <f t="shared" si="6"/>
        <v>1000.0000000000027</v>
      </c>
      <c r="I53" s="23">
        <f t="shared" si="1"/>
        <v>333.3333333333333</v>
      </c>
      <c r="J53" s="23">
        <f t="shared" si="2"/>
        <v>12.500000000000034</v>
      </c>
      <c r="K53" s="24">
        <f t="shared" si="7"/>
        <v>345.83333333333337</v>
      </c>
      <c r="L53" s="24">
        <f t="shared" si="4"/>
        <v>189.05367231638422</v>
      </c>
      <c r="M53" s="24">
        <f t="shared" si="5"/>
        <v>37.810734463276845</v>
      </c>
      <c r="N53" s="37"/>
    </row>
    <row r="54" spans="2:14" ht="12.75">
      <c r="B54" s="32">
        <v>23</v>
      </c>
      <c r="C54" s="33">
        <f t="shared" si="3"/>
        <v>4590.3954802259905</v>
      </c>
      <c r="D54" s="33">
        <f t="shared" si="0"/>
        <v>176.5536723163842</v>
      </c>
      <c r="E54" s="33"/>
      <c r="F54" s="33"/>
      <c r="G54" s="33"/>
      <c r="H54" s="33">
        <f t="shared" si="6"/>
        <v>666.6666666666695</v>
      </c>
      <c r="I54" s="33">
        <f t="shared" si="1"/>
        <v>333.3333333333333</v>
      </c>
      <c r="J54" s="33">
        <f t="shared" si="2"/>
        <v>8.333333333333368</v>
      </c>
      <c r="K54" s="34">
        <f t="shared" si="7"/>
        <v>341.6666666666667</v>
      </c>
      <c r="L54" s="34">
        <f t="shared" si="4"/>
        <v>184.88700564971757</v>
      </c>
      <c r="M54" s="34">
        <f t="shared" si="5"/>
        <v>36.977401129943516</v>
      </c>
      <c r="N54" s="35"/>
    </row>
    <row r="55" spans="2:14" ht="13.5" thickBot="1">
      <c r="B55" s="25">
        <v>24</v>
      </c>
      <c r="C55" s="26">
        <f t="shared" si="3"/>
        <v>4413.841807909606</v>
      </c>
      <c r="D55" s="26">
        <f t="shared" si="0"/>
        <v>176.5536723163842</v>
      </c>
      <c r="E55" s="26">
        <f>(C44+C55)/2*0.022</f>
        <v>118.46751412429381</v>
      </c>
      <c r="F55" s="26"/>
      <c r="G55" s="26"/>
      <c r="H55" s="26">
        <f t="shared" si="6"/>
        <v>333.33333333333616</v>
      </c>
      <c r="I55" s="26">
        <f t="shared" si="1"/>
        <v>333.3333333333333</v>
      </c>
      <c r="J55" s="26">
        <f t="shared" si="2"/>
        <v>4.166666666666702</v>
      </c>
      <c r="K55" s="27">
        <f t="shared" si="7"/>
        <v>455.9675141242938</v>
      </c>
      <c r="L55" s="27">
        <f t="shared" si="4"/>
        <v>299.1878531073447</v>
      </c>
      <c r="M55" s="38">
        <f t="shared" si="5"/>
        <v>59.83757062146895</v>
      </c>
      <c r="N55" s="22"/>
    </row>
    <row r="56" spans="2:14" ht="12.75">
      <c r="B56" s="20"/>
      <c r="C56" s="20"/>
      <c r="D56" s="20">
        <f>SUM(D31:D55)</f>
        <v>4237.2881355932195</v>
      </c>
      <c r="E56" s="20">
        <f aca="true" t="shared" si="8" ref="E56:N56">SUM(E31:E55)</f>
        <v>283.54519774011305</v>
      </c>
      <c r="F56" s="20">
        <f t="shared" si="8"/>
        <v>2000</v>
      </c>
      <c r="G56" s="20">
        <f t="shared" si="8"/>
        <v>8000</v>
      </c>
      <c r="H56" s="20">
        <f t="shared" si="8"/>
        <v>100000.00000000009</v>
      </c>
      <c r="I56" s="20">
        <f t="shared" si="8"/>
        <v>7999.999999999997</v>
      </c>
      <c r="J56" s="20">
        <f t="shared" si="8"/>
        <v>1250.0000000000002</v>
      </c>
      <c r="K56" s="20">
        <f t="shared" si="8"/>
        <v>11533.545197740112</v>
      </c>
      <c r="L56" s="20">
        <f t="shared" si="8"/>
        <v>5770.833333333334</v>
      </c>
      <c r="M56" s="20">
        <f t="shared" si="8"/>
        <v>1154.166666666667</v>
      </c>
      <c r="N56" s="20">
        <f t="shared" si="8"/>
        <v>1525.4237288135594</v>
      </c>
    </row>
    <row r="59" ht="18">
      <c r="B59" s="16" t="s">
        <v>24</v>
      </c>
    </row>
    <row r="60" ht="13.5" thickBot="1"/>
    <row r="61" spans="2:10" ht="74.25" customHeight="1" thickBot="1">
      <c r="B61" s="18" t="s">
        <v>6</v>
      </c>
      <c r="C61" s="19" t="s">
        <v>11</v>
      </c>
      <c r="D61" s="19" t="s">
        <v>26</v>
      </c>
      <c r="E61" s="21" t="s">
        <v>12</v>
      </c>
      <c r="F61" s="19" t="s">
        <v>26</v>
      </c>
      <c r="G61" s="19" t="s">
        <v>5</v>
      </c>
      <c r="H61" s="19" t="s">
        <v>13</v>
      </c>
      <c r="I61" s="1"/>
      <c r="J61" s="1"/>
    </row>
    <row r="62" spans="2:10" ht="12.75">
      <c r="B62" s="52">
        <v>0</v>
      </c>
      <c r="C62" s="53">
        <f>F9*F11</f>
        <v>2000</v>
      </c>
      <c r="D62" s="53">
        <f>C62*18/118</f>
        <v>305.08474576271186</v>
      </c>
      <c r="E62" s="54"/>
      <c r="F62" s="53"/>
      <c r="G62" s="53"/>
      <c r="H62" s="56"/>
      <c r="I62" s="1"/>
      <c r="J62" s="1"/>
    </row>
    <row r="63" spans="2:14" ht="12.75">
      <c r="B63" s="55">
        <v>1</v>
      </c>
      <c r="C63" s="51">
        <v>447.38</v>
      </c>
      <c r="D63" s="51">
        <f aca="true" t="shared" si="9" ref="D63:D86">C63*18/118</f>
        <v>68.24440677966102</v>
      </c>
      <c r="E63" s="51">
        <v>530.71</v>
      </c>
      <c r="F63" s="45">
        <f>E63*18/118</f>
        <v>80.95576271186441</v>
      </c>
      <c r="G63" s="45">
        <f>E63/1.18*0.2</f>
        <v>89.95084745762713</v>
      </c>
      <c r="H63" s="57">
        <f>F63</f>
        <v>80.95576271186441</v>
      </c>
      <c r="I63" s="8"/>
      <c r="J63" s="93" t="s">
        <v>27</v>
      </c>
      <c r="K63" s="93"/>
      <c r="L63" s="93"/>
      <c r="M63" s="93"/>
      <c r="N63" s="9"/>
    </row>
    <row r="64" spans="2:13" ht="12.75">
      <c r="B64" s="55">
        <v>2</v>
      </c>
      <c r="C64" s="51">
        <v>447.38</v>
      </c>
      <c r="D64" s="51">
        <f t="shared" si="9"/>
        <v>68.24440677966102</v>
      </c>
      <c r="E64" s="51">
        <v>530.71</v>
      </c>
      <c r="F64" s="45">
        <f aca="true" t="shared" si="10" ref="F64:F86">E64*18/118</f>
        <v>80.95576271186441</v>
      </c>
      <c r="G64" s="45">
        <f aca="true" t="shared" si="11" ref="G64:G86">E64/1.18*0.2</f>
        <v>89.95084745762713</v>
      </c>
      <c r="H64" s="57">
        <f aca="true" t="shared" si="12" ref="H64:H86">F64</f>
        <v>80.95576271186441</v>
      </c>
      <c r="I64" s="1"/>
      <c r="J64" s="93"/>
      <c r="K64" s="93"/>
      <c r="L64" s="93"/>
      <c r="M64" s="93"/>
    </row>
    <row r="65" spans="2:8" ht="12.75">
      <c r="B65" s="55">
        <v>3</v>
      </c>
      <c r="C65" s="51">
        <v>447.38</v>
      </c>
      <c r="D65" s="51">
        <f t="shared" si="9"/>
        <v>68.24440677966102</v>
      </c>
      <c r="E65" s="51">
        <v>530.71</v>
      </c>
      <c r="F65" s="45">
        <f t="shared" si="10"/>
        <v>80.95576271186441</v>
      </c>
      <c r="G65" s="45">
        <f t="shared" si="11"/>
        <v>89.95084745762713</v>
      </c>
      <c r="H65" s="57">
        <f t="shared" si="12"/>
        <v>80.95576271186441</v>
      </c>
    </row>
    <row r="66" spans="2:13" ht="12.75">
      <c r="B66" s="55">
        <v>4</v>
      </c>
      <c r="C66" s="51">
        <v>447.38</v>
      </c>
      <c r="D66" s="51">
        <f t="shared" si="9"/>
        <v>68.24440677966102</v>
      </c>
      <c r="E66" s="51">
        <v>530.71</v>
      </c>
      <c r="F66" s="45">
        <f t="shared" si="10"/>
        <v>80.95576271186441</v>
      </c>
      <c r="G66" s="45">
        <f t="shared" si="11"/>
        <v>89.95084745762713</v>
      </c>
      <c r="H66" s="57">
        <f t="shared" si="12"/>
        <v>80.95576271186441</v>
      </c>
      <c r="J66" s="94" t="s">
        <v>28</v>
      </c>
      <c r="K66" s="69"/>
      <c r="L66" s="69"/>
      <c r="M66" s="69"/>
    </row>
    <row r="67" spans="2:13" ht="12.75">
      <c r="B67" s="55">
        <v>5</v>
      </c>
      <c r="C67" s="51">
        <v>447.38</v>
      </c>
      <c r="D67" s="51">
        <f t="shared" si="9"/>
        <v>68.24440677966102</v>
      </c>
      <c r="E67" s="51">
        <v>530.71</v>
      </c>
      <c r="F67" s="45">
        <f t="shared" si="10"/>
        <v>80.95576271186441</v>
      </c>
      <c r="G67" s="45">
        <f t="shared" si="11"/>
        <v>89.95084745762713</v>
      </c>
      <c r="H67" s="57">
        <f t="shared" si="12"/>
        <v>80.95576271186441</v>
      </c>
      <c r="J67" s="69"/>
      <c r="K67" s="69"/>
      <c r="L67" s="69"/>
      <c r="M67" s="69"/>
    </row>
    <row r="68" spans="2:8" ht="12.75">
      <c r="B68" s="55">
        <v>6</v>
      </c>
      <c r="C68" s="51">
        <v>447.38</v>
      </c>
      <c r="D68" s="51">
        <f t="shared" si="9"/>
        <v>68.24440677966102</v>
      </c>
      <c r="E68" s="51">
        <v>530.71</v>
      </c>
      <c r="F68" s="45">
        <f t="shared" si="10"/>
        <v>80.95576271186441</v>
      </c>
      <c r="G68" s="45">
        <f t="shared" si="11"/>
        <v>89.95084745762713</v>
      </c>
      <c r="H68" s="57">
        <f t="shared" si="12"/>
        <v>80.95576271186441</v>
      </c>
    </row>
    <row r="69" spans="2:13" ht="12.75">
      <c r="B69" s="55">
        <v>7</v>
      </c>
      <c r="C69" s="51">
        <v>447.38</v>
      </c>
      <c r="D69" s="51">
        <f t="shared" si="9"/>
        <v>68.24440677966102</v>
      </c>
      <c r="E69" s="51">
        <v>530.71</v>
      </c>
      <c r="F69" s="45">
        <f t="shared" si="10"/>
        <v>80.95576271186441</v>
      </c>
      <c r="G69" s="45">
        <f t="shared" si="11"/>
        <v>89.95084745762713</v>
      </c>
      <c r="H69" s="57">
        <f t="shared" si="12"/>
        <v>80.95576271186441</v>
      </c>
      <c r="J69" s="94" t="s">
        <v>29</v>
      </c>
      <c r="K69" s="69"/>
      <c r="L69" s="69"/>
      <c r="M69" s="69"/>
    </row>
    <row r="70" spans="2:13" ht="12.75">
      <c r="B70" s="55">
        <v>8</v>
      </c>
      <c r="C70" s="51">
        <v>447.38</v>
      </c>
      <c r="D70" s="51">
        <f t="shared" si="9"/>
        <v>68.24440677966102</v>
      </c>
      <c r="E70" s="51">
        <v>530.71</v>
      </c>
      <c r="F70" s="45">
        <f t="shared" si="10"/>
        <v>80.95576271186441</v>
      </c>
      <c r="G70" s="45">
        <f t="shared" si="11"/>
        <v>89.95084745762713</v>
      </c>
      <c r="H70" s="57">
        <f t="shared" si="12"/>
        <v>80.95576271186441</v>
      </c>
      <c r="J70" s="69"/>
      <c r="K70" s="69"/>
      <c r="L70" s="69"/>
      <c r="M70" s="69"/>
    </row>
    <row r="71" spans="2:13" ht="12.75">
      <c r="B71" s="55">
        <v>9</v>
      </c>
      <c r="C71" s="51">
        <v>447.38</v>
      </c>
      <c r="D71" s="51">
        <f t="shared" si="9"/>
        <v>68.24440677966102</v>
      </c>
      <c r="E71" s="51">
        <v>530.71</v>
      </c>
      <c r="F71" s="45">
        <f t="shared" si="10"/>
        <v>80.95576271186441</v>
      </c>
      <c r="G71" s="45">
        <f t="shared" si="11"/>
        <v>89.95084745762713</v>
      </c>
      <c r="H71" s="57">
        <f t="shared" si="12"/>
        <v>80.95576271186441</v>
      </c>
      <c r="J71" s="69"/>
      <c r="K71" s="69"/>
      <c r="L71" s="69"/>
      <c r="M71" s="69"/>
    </row>
    <row r="72" spans="2:13" ht="12.75">
      <c r="B72" s="55">
        <v>10</v>
      </c>
      <c r="C72" s="51">
        <v>447.38</v>
      </c>
      <c r="D72" s="51">
        <f t="shared" si="9"/>
        <v>68.24440677966102</v>
      </c>
      <c r="E72" s="51">
        <v>530.71</v>
      </c>
      <c r="F72" s="45">
        <f t="shared" si="10"/>
        <v>80.95576271186441</v>
      </c>
      <c r="G72" s="45">
        <f t="shared" si="11"/>
        <v>89.95084745762713</v>
      </c>
      <c r="H72" s="57">
        <f t="shared" si="12"/>
        <v>80.95576271186441</v>
      </c>
      <c r="J72" s="69"/>
      <c r="K72" s="69"/>
      <c r="L72" s="69"/>
      <c r="M72" s="69"/>
    </row>
    <row r="73" spans="2:8" ht="12.75">
      <c r="B73" s="55">
        <v>11</v>
      </c>
      <c r="C73" s="51">
        <v>447.38</v>
      </c>
      <c r="D73" s="51">
        <f t="shared" si="9"/>
        <v>68.24440677966102</v>
      </c>
      <c r="E73" s="51">
        <v>530.71</v>
      </c>
      <c r="F73" s="45">
        <f t="shared" si="10"/>
        <v>80.95576271186441</v>
      </c>
      <c r="G73" s="45">
        <f t="shared" si="11"/>
        <v>89.95084745762713</v>
      </c>
      <c r="H73" s="57">
        <f t="shared" si="12"/>
        <v>80.95576271186441</v>
      </c>
    </row>
    <row r="74" spans="2:13" ht="12.75">
      <c r="B74" s="55">
        <v>12</v>
      </c>
      <c r="C74" s="51">
        <v>447.38</v>
      </c>
      <c r="D74" s="51">
        <f t="shared" si="9"/>
        <v>68.24440677966102</v>
      </c>
      <c r="E74" s="51">
        <v>530.71</v>
      </c>
      <c r="F74" s="45">
        <f t="shared" si="10"/>
        <v>80.95576271186441</v>
      </c>
      <c r="G74" s="45">
        <f t="shared" si="11"/>
        <v>89.95084745762713</v>
      </c>
      <c r="H74" s="57">
        <f t="shared" si="12"/>
        <v>80.95576271186441</v>
      </c>
      <c r="J74" s="94" t="s">
        <v>30</v>
      </c>
      <c r="K74" s="69"/>
      <c r="L74" s="69"/>
      <c r="M74" s="69"/>
    </row>
    <row r="75" spans="2:13" ht="12.75">
      <c r="B75" s="55">
        <v>13</v>
      </c>
      <c r="C75" s="51">
        <v>371.35</v>
      </c>
      <c r="D75" s="51">
        <f t="shared" si="9"/>
        <v>56.646610169491524</v>
      </c>
      <c r="E75" s="51">
        <v>454.68</v>
      </c>
      <c r="F75" s="45">
        <f t="shared" si="10"/>
        <v>69.35796610169491</v>
      </c>
      <c r="G75" s="45">
        <f t="shared" si="11"/>
        <v>77.06440677966103</v>
      </c>
      <c r="H75" s="57">
        <f t="shared" si="12"/>
        <v>69.35796610169491</v>
      </c>
      <c r="J75" s="69"/>
      <c r="K75" s="69"/>
      <c r="L75" s="69"/>
      <c r="M75" s="69"/>
    </row>
    <row r="76" spans="2:8" ht="12.75">
      <c r="B76" s="55">
        <v>14</v>
      </c>
      <c r="C76" s="51">
        <v>371.35</v>
      </c>
      <c r="D76" s="51">
        <f t="shared" si="9"/>
        <v>56.646610169491524</v>
      </c>
      <c r="E76" s="51">
        <v>454.68</v>
      </c>
      <c r="F76" s="45">
        <f t="shared" si="10"/>
        <v>69.35796610169491</v>
      </c>
      <c r="G76" s="45">
        <f t="shared" si="11"/>
        <v>77.06440677966103</v>
      </c>
      <c r="H76" s="57">
        <f t="shared" si="12"/>
        <v>69.35796610169491</v>
      </c>
    </row>
    <row r="77" spans="2:8" ht="12.75">
      <c r="B77" s="55">
        <v>15</v>
      </c>
      <c r="C77" s="51">
        <v>371.35</v>
      </c>
      <c r="D77" s="51">
        <f t="shared" si="9"/>
        <v>56.646610169491524</v>
      </c>
      <c r="E77" s="51">
        <v>454.68</v>
      </c>
      <c r="F77" s="45">
        <f t="shared" si="10"/>
        <v>69.35796610169491</v>
      </c>
      <c r="G77" s="45">
        <f t="shared" si="11"/>
        <v>77.06440677966103</v>
      </c>
      <c r="H77" s="57">
        <f t="shared" si="12"/>
        <v>69.35796610169491</v>
      </c>
    </row>
    <row r="78" spans="2:8" ht="12.75">
      <c r="B78" s="55">
        <v>16</v>
      </c>
      <c r="C78" s="51">
        <v>371.35</v>
      </c>
      <c r="D78" s="51">
        <f t="shared" si="9"/>
        <v>56.646610169491524</v>
      </c>
      <c r="E78" s="51">
        <v>454.68</v>
      </c>
      <c r="F78" s="45">
        <f t="shared" si="10"/>
        <v>69.35796610169491</v>
      </c>
      <c r="G78" s="45">
        <f t="shared" si="11"/>
        <v>77.06440677966103</v>
      </c>
      <c r="H78" s="57">
        <f t="shared" si="12"/>
        <v>69.35796610169491</v>
      </c>
    </row>
    <row r="79" spans="2:8" ht="12.75">
      <c r="B79" s="55">
        <v>17</v>
      </c>
      <c r="C79" s="51">
        <v>371.35</v>
      </c>
      <c r="D79" s="51">
        <f t="shared" si="9"/>
        <v>56.646610169491524</v>
      </c>
      <c r="E79" s="51">
        <v>454.68</v>
      </c>
      <c r="F79" s="45">
        <f t="shared" si="10"/>
        <v>69.35796610169491</v>
      </c>
      <c r="G79" s="45">
        <f t="shared" si="11"/>
        <v>77.06440677966103</v>
      </c>
      <c r="H79" s="57">
        <f t="shared" si="12"/>
        <v>69.35796610169491</v>
      </c>
    </row>
    <row r="80" spans="2:8" ht="12.75">
      <c r="B80" s="55">
        <v>18</v>
      </c>
      <c r="C80" s="51">
        <v>371.35</v>
      </c>
      <c r="D80" s="51">
        <f t="shared" si="9"/>
        <v>56.646610169491524</v>
      </c>
      <c r="E80" s="51">
        <v>454.68</v>
      </c>
      <c r="F80" s="45">
        <f t="shared" si="10"/>
        <v>69.35796610169491</v>
      </c>
      <c r="G80" s="45">
        <f t="shared" si="11"/>
        <v>77.06440677966103</v>
      </c>
      <c r="H80" s="57">
        <f t="shared" si="12"/>
        <v>69.35796610169491</v>
      </c>
    </row>
    <row r="81" spans="2:8" ht="12.75">
      <c r="B81" s="55">
        <v>19</v>
      </c>
      <c r="C81" s="51">
        <v>371.35</v>
      </c>
      <c r="D81" s="51">
        <f t="shared" si="9"/>
        <v>56.646610169491524</v>
      </c>
      <c r="E81" s="51">
        <v>454.68</v>
      </c>
      <c r="F81" s="45">
        <f t="shared" si="10"/>
        <v>69.35796610169491</v>
      </c>
      <c r="G81" s="45">
        <f t="shared" si="11"/>
        <v>77.06440677966103</v>
      </c>
      <c r="H81" s="57">
        <f t="shared" si="12"/>
        <v>69.35796610169491</v>
      </c>
    </row>
    <row r="82" spans="2:8" ht="12.75">
      <c r="B82" s="55">
        <v>20</v>
      </c>
      <c r="C82" s="51">
        <v>371.35</v>
      </c>
      <c r="D82" s="51">
        <f t="shared" si="9"/>
        <v>56.646610169491524</v>
      </c>
      <c r="E82" s="51">
        <v>454.68</v>
      </c>
      <c r="F82" s="45">
        <f t="shared" si="10"/>
        <v>69.35796610169491</v>
      </c>
      <c r="G82" s="45">
        <f t="shared" si="11"/>
        <v>77.06440677966103</v>
      </c>
      <c r="H82" s="57">
        <f t="shared" si="12"/>
        <v>69.35796610169491</v>
      </c>
    </row>
    <row r="83" spans="2:8" ht="12.75">
      <c r="B83" s="55">
        <v>21</v>
      </c>
      <c r="C83" s="51">
        <v>371.35</v>
      </c>
      <c r="D83" s="51">
        <f t="shared" si="9"/>
        <v>56.646610169491524</v>
      </c>
      <c r="E83" s="51">
        <v>454.68</v>
      </c>
      <c r="F83" s="45">
        <f t="shared" si="10"/>
        <v>69.35796610169491</v>
      </c>
      <c r="G83" s="45">
        <f t="shared" si="11"/>
        <v>77.06440677966103</v>
      </c>
      <c r="H83" s="57">
        <f t="shared" si="12"/>
        <v>69.35796610169491</v>
      </c>
    </row>
    <row r="84" spans="2:8" ht="12.75">
      <c r="B84" s="55">
        <v>22</v>
      </c>
      <c r="C84" s="51">
        <v>371.35</v>
      </c>
      <c r="D84" s="51">
        <f t="shared" si="9"/>
        <v>56.646610169491524</v>
      </c>
      <c r="E84" s="51">
        <v>454.68</v>
      </c>
      <c r="F84" s="45">
        <f t="shared" si="10"/>
        <v>69.35796610169491</v>
      </c>
      <c r="G84" s="45">
        <f t="shared" si="11"/>
        <v>77.06440677966103</v>
      </c>
      <c r="H84" s="57">
        <f t="shared" si="12"/>
        <v>69.35796610169491</v>
      </c>
    </row>
    <row r="85" spans="2:8" ht="12.75">
      <c r="B85" s="55">
        <v>23</v>
      </c>
      <c r="C85" s="51">
        <v>371.35</v>
      </c>
      <c r="D85" s="51">
        <f t="shared" si="9"/>
        <v>56.646610169491524</v>
      </c>
      <c r="E85" s="51">
        <v>454.68</v>
      </c>
      <c r="F85" s="45">
        <f t="shared" si="10"/>
        <v>69.35796610169491</v>
      </c>
      <c r="G85" s="45">
        <f t="shared" si="11"/>
        <v>77.06440677966103</v>
      </c>
      <c r="H85" s="57">
        <f t="shared" si="12"/>
        <v>69.35796610169491</v>
      </c>
    </row>
    <row r="86" spans="2:8" ht="13.5" thickBot="1">
      <c r="B86" s="58">
        <v>24</v>
      </c>
      <c r="C86" s="59">
        <v>371.35</v>
      </c>
      <c r="D86" s="59">
        <f t="shared" si="9"/>
        <v>56.646610169491524</v>
      </c>
      <c r="E86" s="59">
        <v>454.68</v>
      </c>
      <c r="F86" s="60">
        <f t="shared" si="10"/>
        <v>69.35796610169491</v>
      </c>
      <c r="G86" s="60">
        <f t="shared" si="11"/>
        <v>77.06440677966103</v>
      </c>
      <c r="H86" s="61">
        <f t="shared" si="12"/>
        <v>69.35796610169491</v>
      </c>
    </row>
    <row r="87" spans="2:8" ht="12.75">
      <c r="B87" s="39"/>
      <c r="C87" s="39">
        <f>SUM(C62:C86)</f>
        <v>11824.760000000006</v>
      </c>
      <c r="D87" s="39">
        <f>SUM(D62:D86)</f>
        <v>1803.7769491525437</v>
      </c>
      <c r="E87" s="39">
        <f>SUM(E63:E86)</f>
        <v>11824.680000000004</v>
      </c>
      <c r="F87" s="39">
        <f>SUM(F62:F86)</f>
        <v>1803.7647457627122</v>
      </c>
      <c r="G87" s="50">
        <f>SUM(G62:G86)</f>
        <v>2004.1830508474588</v>
      </c>
      <c r="H87" s="39">
        <f>SUM(H62:H86)</f>
        <v>1803.7647457627122</v>
      </c>
    </row>
    <row r="96" ht="12.75">
      <c r="B96" s="10"/>
    </row>
    <row r="98" ht="15.75">
      <c r="B98" s="11"/>
    </row>
    <row r="100" spans="2:7" ht="15.75">
      <c r="B100" s="12"/>
      <c r="G100" s="13"/>
    </row>
    <row r="101" spans="2:7" ht="15.75">
      <c r="B101" s="12"/>
      <c r="G101" s="13"/>
    </row>
    <row r="102" spans="2:7" ht="15.75">
      <c r="B102" s="12"/>
      <c r="G102" s="13"/>
    </row>
    <row r="104" ht="15.75">
      <c r="B104" s="11"/>
    </row>
    <row r="105" ht="15.75">
      <c r="B105" s="12"/>
    </row>
    <row r="106" spans="2:7" ht="15.75">
      <c r="B106" s="12"/>
      <c r="G106" s="13"/>
    </row>
    <row r="107" spans="2:7" ht="15.75">
      <c r="B107" s="12"/>
      <c r="G107" s="13"/>
    </row>
    <row r="108" spans="2:7" ht="15.75">
      <c r="B108" s="12"/>
      <c r="G108" s="13"/>
    </row>
    <row r="110" ht="15.75">
      <c r="B110" s="11"/>
    </row>
    <row r="111" ht="15.75">
      <c r="B111" s="11"/>
    </row>
    <row r="112" spans="2:7" ht="15.75">
      <c r="B112" s="12"/>
      <c r="G112" s="13"/>
    </row>
    <row r="113" spans="2:7" ht="15.75">
      <c r="B113" s="12"/>
      <c r="G113" s="13"/>
    </row>
    <row r="114" spans="2:7" ht="15.75">
      <c r="B114" s="12"/>
      <c r="G114" s="13"/>
    </row>
    <row r="117" ht="15.75">
      <c r="B117" s="12"/>
    </row>
    <row r="119" spans="2:7" ht="15.75">
      <c r="B119" s="12"/>
      <c r="G119" s="14"/>
    </row>
    <row r="120" spans="2:7" ht="15.75">
      <c r="B120" s="12"/>
      <c r="G120" s="14"/>
    </row>
    <row r="121" spans="2:7" ht="15.75">
      <c r="B121" s="12"/>
      <c r="G121" s="14"/>
    </row>
  </sheetData>
  <sheetProtection/>
  <mergeCells count="30">
    <mergeCell ref="G18:H18"/>
    <mergeCell ref="J74:M75"/>
    <mergeCell ref="B9:E9"/>
    <mergeCell ref="B10:E10"/>
    <mergeCell ref="B11:E11"/>
    <mergeCell ref="B12:E12"/>
    <mergeCell ref="G19:H19"/>
    <mergeCell ref="G20:H20"/>
    <mergeCell ref="I17:J17"/>
    <mergeCell ref="I18:J18"/>
    <mergeCell ref="B18:F18"/>
    <mergeCell ref="B19:F19"/>
    <mergeCell ref="J63:M64"/>
    <mergeCell ref="J66:M67"/>
    <mergeCell ref="J69:M72"/>
    <mergeCell ref="B4:I4"/>
    <mergeCell ref="B5:I5"/>
    <mergeCell ref="B17:F17"/>
    <mergeCell ref="B20:F20"/>
    <mergeCell ref="G17:H17"/>
    <mergeCell ref="B2:N2"/>
    <mergeCell ref="B25:I25"/>
    <mergeCell ref="B22:G22"/>
    <mergeCell ref="B23:G23"/>
    <mergeCell ref="I22:N23"/>
    <mergeCell ref="B16:F16"/>
    <mergeCell ref="G16:H16"/>
    <mergeCell ref="I16:J16"/>
    <mergeCell ref="I19:J19"/>
    <mergeCell ref="I20:J2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Сравнение фактических затрат на покупку автотранспорта в кредит и по договору лизинга</dc:title>
  <dc:subject/>
  <dc:creator>ДВЛК</dc:creator>
  <cp:keywords/>
  <dc:description/>
  <cp:lastModifiedBy>user</cp:lastModifiedBy>
  <cp:lastPrinted>2009-01-20T03:08:29Z</cp:lastPrinted>
  <dcterms:created xsi:type="dcterms:W3CDTF">1996-10-08T23:32:33Z</dcterms:created>
  <dcterms:modified xsi:type="dcterms:W3CDTF">2011-02-05T14:02:42Z</dcterms:modified>
  <cp:category/>
  <cp:version/>
  <cp:contentType/>
  <cp:contentStatus/>
</cp:coreProperties>
</file>