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ецтехника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<sst xmlns="http://schemas.openxmlformats.org/spreadsheetml/2006/main" count="46" uniqueCount="42">
  <si>
    <t xml:space="preserve">Балансовая стоимость </t>
  </si>
  <si>
    <t>Амортизация</t>
  </si>
  <si>
    <t>Налог на имущество</t>
  </si>
  <si>
    <t>Аванс</t>
  </si>
  <si>
    <t>Затраты для целей налогообложения</t>
  </si>
  <si>
    <t>Экономия по налогу на прибыль</t>
  </si>
  <si>
    <t>Расчет-ный период</t>
  </si>
  <si>
    <t>Кредит</t>
  </si>
  <si>
    <t>Погашение долга по кредиту</t>
  </si>
  <si>
    <t>Оплата процентов по кредиту</t>
  </si>
  <si>
    <t>Отток денежных средств</t>
  </si>
  <si>
    <t>Лизинговый взнос по договору (к уплате)</t>
  </si>
  <si>
    <t>Лизинговый платеж по договору (к начислению)</t>
  </si>
  <si>
    <t>НДС к возмещению</t>
  </si>
  <si>
    <t>Исходные данные</t>
  </si>
  <si>
    <t>Отток денежных средств (общая сумма выплат), у. е.</t>
  </si>
  <si>
    <t>Покупка в кредит</t>
  </si>
  <si>
    <t>Покупка в лизинг</t>
  </si>
  <si>
    <t>Экономия по налогу на прибыль, у. е.</t>
  </si>
  <si>
    <t>НДС к возмещению, у. е.</t>
  </si>
  <si>
    <t xml:space="preserve">Фактические затраты, у. е. </t>
  </si>
  <si>
    <t>Остаток долга по кредиту</t>
  </si>
  <si>
    <t>В т.ч. НДС</t>
  </si>
  <si>
    <r>
      <t xml:space="preserve">Лизинговый взнос </t>
    </r>
    <r>
      <rPr>
        <sz val="10"/>
        <rFont val="Calibri"/>
        <family val="2"/>
      </rPr>
      <t>—</t>
    </r>
    <r>
      <rPr>
        <sz val="10"/>
        <rFont val="Arial"/>
        <family val="2"/>
      </rPr>
      <t xml:space="preserve"> сумма к уплате по договору лизинга (в том числе налог на имущество)</t>
    </r>
  </si>
  <si>
    <t>Лизинговый платеж — сумма к начислению (относится на затраты)</t>
  </si>
  <si>
    <t>Экономия по налогу на прибыль = 20% от затрат для целей налогообложения — лизингового платежа без НДС (т.к. они реально уменьшают налогооблагаемую базу прибыли)</t>
  </si>
  <si>
    <t>НДС к возмещению — НДС со всей суммы лизинговых платежей</t>
  </si>
  <si>
    <t>Срок лизинга, месяцы</t>
  </si>
  <si>
    <t>Аванс, %</t>
  </si>
  <si>
    <t>Сравнение фактических затрат на покупку спецтехники в кредит и по договору лизинга</t>
  </si>
  <si>
    <t>Затраты на покупку спецтехники в кредит и по договору лизинга</t>
  </si>
  <si>
    <t>Стоимость спецтехники, у. е.</t>
  </si>
  <si>
    <t>Финансовые результаты при приобретении спецтехники по договору лизинга</t>
  </si>
  <si>
    <t>Исходные данные и величина процентной ставки в данном примере являются условными.</t>
  </si>
  <si>
    <t>Срок амортизации, месяцы</t>
  </si>
  <si>
    <t>Показатели</t>
  </si>
  <si>
    <t>Для примера сравним фактические затраты на покупку спецтехники стоимостью 20 000 у. е. в кредит и по договору лизинга.</t>
  </si>
  <si>
    <t>Вывод: после проведения расчетов выгода приобретения спецтехники по договору лизинга становится очевидной: фактическая сумма, затраченная на покупку, в этом случае значительно ниже.</t>
  </si>
  <si>
    <t>При изменении исходных данных или процентной ставки соотношение  фактических затрат при покупке спецтехники в кредит и по договору лизинга сохраняется.</t>
  </si>
  <si>
    <t xml:space="preserve">Приведенные ниже таблицы содержат данные о финансовых результатах при приобретении спецтехники в кредит и по договору лизинга. </t>
  </si>
  <si>
    <t xml:space="preserve">Финансовые результаты при приобретении спецтехники в кредит </t>
  </si>
  <si>
    <t>Финансовые результаты являются условными и соответствуют принятым в данном примере исходным данным и величине процентной ставки.
Для того, чтобы сравнить фактические затраты на покупку спецтехники в кредит и по договору лизинга для какого-то  конкретного случая, можно сделать точный расчет лизинговых платежей с помощью калькулятора на сайте, или обратиться для этого в офис нашей компании по телефону (351) 210 09 70, 71 или напишите нам письмо на: leasing@rosallaince.ru 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</si>
</sst>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0_р_.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2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9" fontId="0" fillId="0" borderId="0" xfId="58" applyFont="1" applyAlignment="1">
      <alignment/>
    </xf>
    <xf numFmtId="179" fontId="2" fillId="0" borderId="0" xfId="58" applyFont="1" applyBorder="1" applyAlignment="1">
      <alignment horizontal="center" wrapText="1"/>
    </xf>
    <xf numFmtId="179" fontId="3" fillId="0" borderId="0" xfId="58" applyFont="1" applyBorder="1" applyAlignment="1">
      <alignment horizontal="center" wrapText="1"/>
    </xf>
    <xf numFmtId="179" fontId="0" fillId="0" borderId="0" xfId="58" applyFont="1" applyBorder="1" applyAlignment="1">
      <alignment/>
    </xf>
    <xf numFmtId="0" fontId="1" fillId="0" borderId="10" xfId="0" applyFont="1" applyBorder="1" applyAlignment="1">
      <alignment horizontal="center" wrapText="1"/>
    </xf>
    <xf numFmtId="10" fontId="1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79" fontId="0" fillId="0" borderId="0" xfId="58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9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1" fillId="0" borderId="11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79" fontId="1" fillId="0" borderId="0" xfId="58" applyFont="1" applyAlignment="1">
      <alignment/>
    </xf>
    <xf numFmtId="0" fontId="1" fillId="0" borderId="14" xfId="0" applyFont="1" applyBorder="1" applyAlignment="1">
      <alignment horizontal="center" vertical="top" wrapText="1"/>
    </xf>
    <xf numFmtId="2" fontId="2" fillId="0" borderId="15" xfId="58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58" applyNumberFormat="1" applyFont="1" applyBorder="1" applyAlignment="1">
      <alignment horizontal="center"/>
    </xf>
    <xf numFmtId="2" fontId="2" fillId="0" borderId="17" xfId="58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58" applyNumberFormat="1" applyFont="1" applyBorder="1" applyAlignment="1">
      <alignment horizontal="center"/>
    </xf>
    <xf numFmtId="2" fontId="2" fillId="0" borderId="19" xfId="58" applyNumberFormat="1" applyFont="1" applyBorder="1" applyAlignment="1">
      <alignment horizontal="center"/>
    </xf>
    <xf numFmtId="2" fontId="2" fillId="0" borderId="20" xfId="58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2" fontId="0" fillId="0" borderId="15" xfId="0" applyNumberFormat="1" applyBorder="1" applyAlignment="1">
      <alignment horizontal="center"/>
    </xf>
    <xf numFmtId="4" fontId="11" fillId="0" borderId="22" xfId="58" applyNumberFormat="1" applyFont="1" applyBorder="1" applyAlignment="1">
      <alignment horizontal="left"/>
    </xf>
    <xf numFmtId="4" fontId="11" fillId="0" borderId="23" xfId="58" applyNumberFormat="1" applyFont="1" applyBorder="1" applyAlignment="1">
      <alignment horizontal="left"/>
    </xf>
    <xf numFmtId="10" fontId="11" fillId="0" borderId="23" xfId="58" applyNumberFormat="1" applyFont="1" applyBorder="1" applyAlignment="1">
      <alignment horizontal="left"/>
    </xf>
    <xf numFmtId="4" fontId="11" fillId="0" borderId="24" xfId="58" applyNumberFormat="1" applyFont="1" applyBorder="1" applyAlignment="1">
      <alignment horizontal="left"/>
    </xf>
    <xf numFmtId="2" fontId="0" fillId="0" borderId="23" xfId="0" applyNumberFormat="1" applyBorder="1" applyAlignment="1">
      <alignment horizont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top"/>
    </xf>
    <xf numFmtId="2" fontId="2" fillId="0" borderId="25" xfId="58" applyNumberFormat="1" applyFont="1" applyBorder="1" applyAlignment="1">
      <alignment horizontal="center"/>
    </xf>
    <xf numFmtId="2" fontId="2" fillId="0" borderId="26" xfId="58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27" xfId="58" applyNumberFormat="1" applyFont="1" applyBorder="1" applyAlignment="1">
      <alignment horizontal="center"/>
    </xf>
    <xf numFmtId="2" fontId="2" fillId="0" borderId="23" xfId="58" applyNumberFormat="1" applyFont="1" applyBorder="1" applyAlignment="1">
      <alignment horizontal="center"/>
    </xf>
    <xf numFmtId="2" fontId="2" fillId="0" borderId="28" xfId="58" applyNumberFormat="1" applyFont="1" applyBorder="1" applyAlignment="1">
      <alignment horizontal="center"/>
    </xf>
    <xf numFmtId="2" fontId="2" fillId="0" borderId="21" xfId="58" applyNumberFormat="1" applyFont="1" applyBorder="1" applyAlignment="1">
      <alignment horizontal="center"/>
    </xf>
    <xf numFmtId="2" fontId="2" fillId="0" borderId="24" xfId="58" applyNumberFormat="1" applyFont="1" applyBorder="1" applyAlignment="1">
      <alignment horizontal="center"/>
    </xf>
    <xf numFmtId="2" fontId="0" fillId="0" borderId="16" xfId="58" applyNumberFormat="1" applyFont="1" applyBorder="1" applyAlignment="1">
      <alignment horizontal="center"/>
    </xf>
    <xf numFmtId="2" fontId="0" fillId="0" borderId="17" xfId="58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2" xfId="58" applyNumberFormat="1" applyFont="1" applyBorder="1" applyAlignment="1">
      <alignment horizontal="center"/>
    </xf>
    <xf numFmtId="2" fontId="0" fillId="0" borderId="19" xfId="58" applyNumberFormat="1" applyFont="1" applyBorder="1" applyAlignment="1">
      <alignment horizontal="center"/>
    </xf>
    <xf numFmtId="2" fontId="0" fillId="0" borderId="15" xfId="58" applyNumberFormat="1" applyFont="1" applyBorder="1" applyAlignment="1">
      <alignment horizontal="center"/>
    </xf>
    <xf numFmtId="2" fontId="0" fillId="0" borderId="29" xfId="58" applyNumberFormat="1" applyFont="1" applyBorder="1" applyAlignment="1">
      <alignment horizontal="center"/>
    </xf>
    <xf numFmtId="2" fontId="0" fillId="0" borderId="30" xfId="58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28" xfId="58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58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9" xfId="0" applyFont="1" applyBorder="1" applyAlignment="1">
      <alignment wrapText="1" shrinkToFit="1"/>
    </xf>
    <xf numFmtId="0" fontId="11" fillId="0" borderId="15" xfId="0" applyFont="1" applyBorder="1" applyAlignment="1">
      <alignment wrapText="1" shrinkToFit="1"/>
    </xf>
    <xf numFmtId="0" fontId="11" fillId="0" borderId="28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5" fillId="0" borderId="32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3" fillId="0" borderId="32" xfId="0" applyFont="1" applyBorder="1" applyAlignment="1">
      <alignment horizontal="center" vertical="top" wrapText="1"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2" fontId="0" fillId="0" borderId="36" xfId="0" applyNumberFormat="1" applyBorder="1" applyAlignment="1">
      <alignment horizontal="center"/>
    </xf>
    <xf numFmtId="2" fontId="2" fillId="0" borderId="36" xfId="58" applyNumberFormat="1" applyFont="1" applyBorder="1" applyAlignment="1">
      <alignment horizontal="center" wrapText="1"/>
    </xf>
    <xf numFmtId="0" fontId="0" fillId="0" borderId="37" xfId="0" applyNumberFormat="1" applyBorder="1" applyAlignment="1">
      <alignment horizontal="center" wrapText="1"/>
    </xf>
    <xf numFmtId="0" fontId="11" fillId="0" borderId="38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2" fontId="0" fillId="0" borderId="40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2" fillId="0" borderId="15" xfId="58" applyNumberFormat="1" applyFont="1" applyBorder="1" applyAlignment="1">
      <alignment horizontal="center" wrapText="1"/>
    </xf>
    <xf numFmtId="2" fontId="0" fillId="0" borderId="2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11" fillId="0" borderId="28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2" fontId="16" fillId="0" borderId="21" xfId="0" applyNumberFormat="1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0" fontId="13" fillId="0" borderId="42" xfId="0" applyFont="1" applyBorder="1" applyAlignment="1">
      <alignment vertical="top" wrapText="1"/>
    </xf>
    <xf numFmtId="0" fontId="11" fillId="0" borderId="4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0" fontId="11" fillId="0" borderId="43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1" fillId="0" borderId="38" xfId="0" applyFont="1" applyBorder="1" applyAlignment="1">
      <alignment vertical="top"/>
    </xf>
    <xf numFmtId="0" fontId="11" fillId="0" borderId="39" xfId="0" applyFont="1" applyBorder="1" applyAlignment="1">
      <alignment vertical="top"/>
    </xf>
    <xf numFmtId="0" fontId="11" fillId="0" borderId="10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</xdr:row>
      <xdr:rowOff>161925</xdr:rowOff>
    </xdr:from>
    <xdr:to>
      <xdr:col>12</xdr:col>
      <xdr:colOff>57150</xdr:colOff>
      <xdr:row>4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542925"/>
          <a:ext cx="2286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2.57421875" style="0" customWidth="1"/>
    <col min="2" max="2" width="7.00390625" style="0" customWidth="1"/>
    <col min="3" max="3" width="11.140625" style="0" customWidth="1"/>
    <col min="4" max="4" width="11.8515625" style="0" customWidth="1"/>
    <col min="5" max="5" width="10.421875" style="0" customWidth="1"/>
    <col min="6" max="6" width="12.8515625" style="0" customWidth="1"/>
    <col min="7" max="7" width="10.8515625" style="0" customWidth="1"/>
    <col min="8" max="8" width="11.8515625" style="0" customWidth="1"/>
    <col min="9" max="9" width="10.140625" style="0" customWidth="1"/>
    <col min="10" max="10" width="10.28125" style="0" customWidth="1"/>
    <col min="11" max="11" width="12.8515625" style="0" customWidth="1"/>
    <col min="12" max="12" width="11.28125" style="0" customWidth="1"/>
    <col min="13" max="13" width="11.7109375" style="0" customWidth="1"/>
  </cols>
  <sheetData>
    <row r="1" spans="2:9" ht="9" customHeight="1">
      <c r="B1" s="1"/>
      <c r="C1" s="1"/>
      <c r="D1" s="1"/>
      <c r="E1" s="1"/>
      <c r="F1" s="1"/>
      <c r="G1" s="1"/>
      <c r="H1" s="1"/>
      <c r="I1" s="1"/>
    </row>
    <row r="2" spans="2:14" ht="21" customHeight="1">
      <c r="B2" s="71" t="s">
        <v>29</v>
      </c>
      <c r="C2" s="71"/>
      <c r="D2" s="71"/>
      <c r="E2" s="71"/>
      <c r="F2" s="71"/>
      <c r="G2" s="71"/>
      <c r="H2" s="71"/>
      <c r="I2" s="71"/>
      <c r="J2" s="72"/>
      <c r="K2" s="72"/>
      <c r="L2" s="72"/>
      <c r="M2" s="72"/>
      <c r="N2" s="72"/>
    </row>
    <row r="3" spans="2:9" ht="13.5" customHeight="1">
      <c r="B3" s="15"/>
      <c r="C3" s="1"/>
      <c r="D3" s="1"/>
      <c r="E3" s="1"/>
      <c r="F3" s="1"/>
      <c r="G3" s="1"/>
      <c r="H3" s="1"/>
      <c r="I3" s="1"/>
    </row>
    <row r="4" spans="2:9" ht="30" customHeight="1">
      <c r="B4" s="73" t="s">
        <v>36</v>
      </c>
      <c r="C4" s="73"/>
      <c r="D4" s="73"/>
      <c r="E4" s="73"/>
      <c r="F4" s="73"/>
      <c r="G4" s="73"/>
      <c r="H4" s="73"/>
      <c r="I4" s="74"/>
    </row>
    <row r="5" spans="2:9" ht="33.75" customHeight="1">
      <c r="B5" s="73" t="s">
        <v>33</v>
      </c>
      <c r="C5" s="73"/>
      <c r="D5" s="73"/>
      <c r="E5" s="73"/>
      <c r="F5" s="73"/>
      <c r="G5" s="73"/>
      <c r="H5" s="73"/>
      <c r="I5" s="73"/>
    </row>
    <row r="6" ht="12.75">
      <c r="I6" s="1"/>
    </row>
    <row r="7" spans="1:9" ht="18">
      <c r="A7" s="1"/>
      <c r="B7" s="15" t="s">
        <v>14</v>
      </c>
      <c r="C7" s="1"/>
      <c r="D7" s="1"/>
      <c r="E7" s="1"/>
      <c r="F7" s="1"/>
      <c r="G7" s="1"/>
      <c r="H7" s="1"/>
      <c r="I7" s="1"/>
    </row>
    <row r="8" spans="1:9" ht="8.25" customHeight="1" thickBot="1">
      <c r="A8" s="1"/>
      <c r="B8" s="16"/>
      <c r="C8" s="1"/>
      <c r="D8" s="1"/>
      <c r="E8" s="1"/>
      <c r="F8" s="1"/>
      <c r="G8" s="1"/>
      <c r="H8" s="1"/>
      <c r="I8" s="1"/>
    </row>
    <row r="9" spans="1:7" ht="14.25">
      <c r="A9" s="1"/>
      <c r="B9" s="75" t="s">
        <v>31</v>
      </c>
      <c r="C9" s="76"/>
      <c r="D9" s="76"/>
      <c r="E9" s="76"/>
      <c r="F9" s="38">
        <v>20000</v>
      </c>
      <c r="G9" s="34"/>
    </row>
    <row r="10" spans="1:7" ht="14.25">
      <c r="A10" s="1"/>
      <c r="B10" s="77" t="s">
        <v>27</v>
      </c>
      <c r="C10" s="78"/>
      <c r="D10" s="78"/>
      <c r="E10" s="78"/>
      <c r="F10" s="39">
        <v>36</v>
      </c>
      <c r="G10" s="35"/>
    </row>
    <row r="11" spans="1:7" ht="14.25">
      <c r="A11" s="1"/>
      <c r="B11" s="79" t="s">
        <v>28</v>
      </c>
      <c r="C11" s="80"/>
      <c r="D11" s="80"/>
      <c r="E11" s="80"/>
      <c r="F11" s="40">
        <v>0.2</v>
      </c>
      <c r="G11" s="35"/>
    </row>
    <row r="12" spans="1:7" ht="15" thickBot="1">
      <c r="A12" s="1"/>
      <c r="B12" s="81" t="s">
        <v>34</v>
      </c>
      <c r="C12" s="82"/>
      <c r="D12" s="82"/>
      <c r="E12" s="82"/>
      <c r="F12" s="41">
        <v>108</v>
      </c>
      <c r="G12" s="35"/>
    </row>
    <row r="13" spans="1:9" ht="12.75">
      <c r="A13" s="4"/>
      <c r="I13" s="4"/>
    </row>
    <row r="14" spans="1:9" ht="18">
      <c r="A14" s="4"/>
      <c r="B14" s="15" t="s">
        <v>30</v>
      </c>
      <c r="I14" s="4"/>
    </row>
    <row r="15" spans="1:9" ht="7.5" customHeight="1" thickBot="1">
      <c r="A15" s="4"/>
      <c r="B15" s="4"/>
      <c r="C15" s="4"/>
      <c r="D15" s="4"/>
      <c r="E15" s="4"/>
      <c r="F15" s="3"/>
      <c r="G15" s="2"/>
      <c r="H15" s="2"/>
      <c r="I15" s="4"/>
    </row>
    <row r="16" spans="1:11" ht="16.5" thickBot="1">
      <c r="A16" s="4"/>
      <c r="B16" s="83" t="s">
        <v>35</v>
      </c>
      <c r="C16" s="84"/>
      <c r="D16" s="84"/>
      <c r="E16" s="84"/>
      <c r="F16" s="85"/>
      <c r="G16" s="86" t="s">
        <v>16</v>
      </c>
      <c r="H16" s="87"/>
      <c r="I16" s="86" t="s">
        <v>17</v>
      </c>
      <c r="J16" s="87"/>
      <c r="K16" s="31"/>
    </row>
    <row r="17" spans="1:11" ht="15" customHeight="1">
      <c r="A17" s="4"/>
      <c r="B17" s="88" t="s">
        <v>15</v>
      </c>
      <c r="C17" s="89"/>
      <c r="D17" s="89"/>
      <c r="E17" s="89"/>
      <c r="F17" s="89"/>
      <c r="G17" s="90">
        <f>K68</f>
        <v>24144.04896421845</v>
      </c>
      <c r="H17" s="90"/>
      <c r="I17" s="91">
        <f>E111</f>
        <v>25474.320000000025</v>
      </c>
      <c r="J17" s="92"/>
      <c r="K17" s="32"/>
    </row>
    <row r="18" spans="1:11" ht="15" customHeight="1">
      <c r="A18" s="4"/>
      <c r="B18" s="96" t="s">
        <v>18</v>
      </c>
      <c r="C18" s="97"/>
      <c r="D18" s="97"/>
      <c r="E18" s="97"/>
      <c r="F18" s="97"/>
      <c r="G18" s="98">
        <f>M68</f>
        <v>1958.7532956685495</v>
      </c>
      <c r="H18" s="99"/>
      <c r="I18" s="100">
        <f>G111</f>
        <v>4317.681355932201</v>
      </c>
      <c r="J18" s="101"/>
      <c r="K18" s="33"/>
    </row>
    <row r="19" spans="1:11" ht="15" customHeight="1">
      <c r="A19" s="4"/>
      <c r="B19" s="96" t="s">
        <v>19</v>
      </c>
      <c r="C19" s="97"/>
      <c r="D19" s="97"/>
      <c r="E19" s="97"/>
      <c r="F19" s="97"/>
      <c r="G19" s="102">
        <f>N68</f>
        <v>3050.8474576271187</v>
      </c>
      <c r="H19" s="102"/>
      <c r="I19" s="100">
        <f>H111</f>
        <v>3885.913220338985</v>
      </c>
      <c r="J19" s="101"/>
      <c r="K19" s="33"/>
    </row>
    <row r="20" spans="1:11" ht="15" customHeight="1" thickBot="1">
      <c r="A20" s="4"/>
      <c r="B20" s="107" t="s">
        <v>20</v>
      </c>
      <c r="C20" s="108"/>
      <c r="D20" s="108"/>
      <c r="E20" s="108"/>
      <c r="F20" s="108"/>
      <c r="G20" s="109">
        <f>G17-G18-G19</f>
        <v>19134.448210922783</v>
      </c>
      <c r="H20" s="109"/>
      <c r="I20" s="109">
        <f>I17-I18-I19</f>
        <v>17270.72542372884</v>
      </c>
      <c r="J20" s="110"/>
      <c r="K20" s="33"/>
    </row>
    <row r="21" ht="15" customHeight="1" thickBot="1">
      <c r="A21" s="4"/>
    </row>
    <row r="22" spans="1:14" ht="69" customHeight="1">
      <c r="A22" s="4"/>
      <c r="B22" s="111" t="s">
        <v>37</v>
      </c>
      <c r="C22" s="112"/>
      <c r="D22" s="112"/>
      <c r="E22" s="112"/>
      <c r="F22" s="112"/>
      <c r="G22" s="113"/>
      <c r="H22" s="36"/>
      <c r="I22" s="114" t="s">
        <v>41</v>
      </c>
      <c r="J22" s="115"/>
      <c r="K22" s="115"/>
      <c r="L22" s="115"/>
      <c r="M22" s="115"/>
      <c r="N22" s="116"/>
    </row>
    <row r="23" spans="1:14" ht="80.25" customHeight="1" thickBot="1">
      <c r="A23" s="4"/>
      <c r="B23" s="93" t="s">
        <v>38</v>
      </c>
      <c r="C23" s="94"/>
      <c r="D23" s="94"/>
      <c r="E23" s="94"/>
      <c r="F23" s="94"/>
      <c r="G23" s="95"/>
      <c r="H23" s="9"/>
      <c r="I23" s="117"/>
      <c r="J23" s="118"/>
      <c r="K23" s="118"/>
      <c r="L23" s="118"/>
      <c r="M23" s="118"/>
      <c r="N23" s="119"/>
    </row>
    <row r="24" spans="1:14" ht="9" customHeight="1">
      <c r="A24" s="4"/>
      <c r="B24" s="43"/>
      <c r="C24" s="44"/>
      <c r="D24" s="44"/>
      <c r="E24" s="44"/>
      <c r="F24" s="44"/>
      <c r="G24" s="44"/>
      <c r="H24" s="9"/>
      <c r="I24" s="43"/>
      <c r="J24" s="45"/>
      <c r="K24" s="45"/>
      <c r="L24" s="45"/>
      <c r="M24" s="45"/>
      <c r="N24" s="45"/>
    </row>
    <row r="25" spans="2:9" ht="36" customHeight="1">
      <c r="B25" s="103" t="s">
        <v>39</v>
      </c>
      <c r="C25" s="103"/>
      <c r="D25" s="103"/>
      <c r="E25" s="103"/>
      <c r="F25" s="103"/>
      <c r="G25" s="103"/>
      <c r="H25" s="104"/>
      <c r="I25" s="104"/>
    </row>
    <row r="27" ht="18">
      <c r="B27" s="15" t="s">
        <v>40</v>
      </c>
    </row>
    <row r="28" ht="13.5" thickBot="1"/>
    <row r="29" spans="2:14" ht="48">
      <c r="B29" s="17" t="s">
        <v>6</v>
      </c>
      <c r="C29" s="17" t="s">
        <v>0</v>
      </c>
      <c r="D29" s="18" t="s">
        <v>1</v>
      </c>
      <c r="E29" s="17" t="s">
        <v>2</v>
      </c>
      <c r="F29" s="17" t="s">
        <v>3</v>
      </c>
      <c r="G29" s="18" t="s">
        <v>7</v>
      </c>
      <c r="H29" s="18" t="s">
        <v>21</v>
      </c>
      <c r="I29" s="17" t="s">
        <v>8</v>
      </c>
      <c r="J29" s="17" t="s">
        <v>9</v>
      </c>
      <c r="K29" s="17" t="s">
        <v>10</v>
      </c>
      <c r="L29" s="17" t="s">
        <v>4</v>
      </c>
      <c r="M29" s="17" t="s">
        <v>5</v>
      </c>
      <c r="N29" s="17" t="s">
        <v>13</v>
      </c>
    </row>
    <row r="30" spans="2:14" ht="13.5" thickBot="1">
      <c r="B30" s="14"/>
      <c r="C30" s="14"/>
      <c r="D30" s="5"/>
      <c r="E30" s="14"/>
      <c r="F30" s="14"/>
      <c r="G30" s="5"/>
      <c r="H30" s="5"/>
      <c r="I30" s="14"/>
      <c r="J30" s="6">
        <v>0.13</v>
      </c>
      <c r="K30" s="14"/>
      <c r="L30" s="14"/>
      <c r="M30" s="14"/>
      <c r="N30" s="14"/>
    </row>
    <row r="31" spans="2:14" ht="12.75">
      <c r="B31" s="23">
        <v>0</v>
      </c>
      <c r="C31" s="24"/>
      <c r="D31" s="24"/>
      <c r="E31" s="24"/>
      <c r="F31" s="24">
        <f>F9*F11</f>
        <v>4000</v>
      </c>
      <c r="G31" s="24">
        <f>F9-F31</f>
        <v>16000</v>
      </c>
      <c r="H31" s="24"/>
      <c r="I31" s="24"/>
      <c r="J31" s="24"/>
      <c r="K31" s="25">
        <f>F31+I31+J31+E31</f>
        <v>4000</v>
      </c>
      <c r="L31" s="25">
        <f>D31+J31</f>
        <v>0</v>
      </c>
      <c r="M31" s="25">
        <f>L31*0.24</f>
        <v>0</v>
      </c>
      <c r="N31" s="26">
        <f>(G31+F31)*18/118</f>
        <v>3050.8474576271187</v>
      </c>
    </row>
    <row r="32" spans="2:14" ht="12.75">
      <c r="B32" s="27">
        <v>1</v>
      </c>
      <c r="C32" s="21">
        <f>F9/1.18</f>
        <v>16949.15254237288</v>
      </c>
      <c r="D32" s="21">
        <f aca="true" t="shared" si="0" ref="D32:D65">($F$9/1.18)/$F$12</f>
        <v>156.9365976145637</v>
      </c>
      <c r="E32" s="21"/>
      <c r="F32" s="21"/>
      <c r="G32" s="21"/>
      <c r="H32" s="21">
        <f>G31</f>
        <v>16000</v>
      </c>
      <c r="I32" s="21">
        <f aca="true" t="shared" si="1" ref="I32:I66">$G$31/$F$10</f>
        <v>444.44444444444446</v>
      </c>
      <c r="J32" s="21">
        <f aca="true" t="shared" si="2" ref="J32:J67">H32*$J$30/12</f>
        <v>173.33333333333334</v>
      </c>
      <c r="K32" s="22">
        <f>F32+I32+J32+E32</f>
        <v>617.7777777777778</v>
      </c>
      <c r="L32" s="22">
        <f>D32+J32+E32</f>
        <v>330.269930947897</v>
      </c>
      <c r="M32" s="22">
        <f>L32*0.2</f>
        <v>66.0539861895794</v>
      </c>
      <c r="N32" s="28"/>
    </row>
    <row r="33" spans="2:14" ht="12.75">
      <c r="B33" s="27">
        <v>2</v>
      </c>
      <c r="C33" s="21">
        <f aca="true" t="shared" si="3" ref="C33:C67">C32-D32</f>
        <v>16792.215944758318</v>
      </c>
      <c r="D33" s="21">
        <f t="shared" si="0"/>
        <v>156.9365976145637</v>
      </c>
      <c r="E33" s="21"/>
      <c r="F33" s="21"/>
      <c r="G33" s="21"/>
      <c r="H33" s="21">
        <f>H32-I32</f>
        <v>15555.555555555555</v>
      </c>
      <c r="I33" s="21">
        <f t="shared" si="1"/>
        <v>444.44444444444446</v>
      </c>
      <c r="J33" s="21">
        <f t="shared" si="2"/>
        <v>168.5185185185185</v>
      </c>
      <c r="K33" s="22">
        <f>F33+I33+J33+E33</f>
        <v>612.9629629629629</v>
      </c>
      <c r="L33" s="22">
        <f aca="true" t="shared" si="4" ref="L33:L67">D33+J33+E33</f>
        <v>325.45511613308224</v>
      </c>
      <c r="M33" s="22">
        <f aca="true" t="shared" si="5" ref="M33:M67">L33*0.2</f>
        <v>65.09102322661646</v>
      </c>
      <c r="N33" s="28"/>
    </row>
    <row r="34" spans="2:14" ht="13.5" customHeight="1">
      <c r="B34" s="27">
        <v>3</v>
      </c>
      <c r="C34" s="21">
        <f t="shared" si="3"/>
        <v>16635.279347143754</v>
      </c>
      <c r="D34" s="21">
        <f t="shared" si="0"/>
        <v>156.9365976145637</v>
      </c>
      <c r="E34" s="21"/>
      <c r="F34" s="21"/>
      <c r="G34" s="21"/>
      <c r="H34" s="21">
        <f aca="true" t="shared" si="6" ref="H34:H67">H33-I33</f>
        <v>15111.11111111111</v>
      </c>
      <c r="I34" s="21">
        <f t="shared" si="1"/>
        <v>444.44444444444446</v>
      </c>
      <c r="J34" s="21">
        <f t="shared" si="2"/>
        <v>163.7037037037037</v>
      </c>
      <c r="K34" s="22">
        <f aca="true" t="shared" si="7" ref="K34:K67">F34+I34+J34+E34</f>
        <v>608.1481481481482</v>
      </c>
      <c r="L34" s="22">
        <f t="shared" si="4"/>
        <v>320.6403013182674</v>
      </c>
      <c r="M34" s="22">
        <f t="shared" si="5"/>
        <v>64.12806026365348</v>
      </c>
      <c r="N34" s="28"/>
    </row>
    <row r="35" spans="2:14" ht="12.75">
      <c r="B35" s="27">
        <v>4</v>
      </c>
      <c r="C35" s="21">
        <f t="shared" si="3"/>
        <v>16478.34274952919</v>
      </c>
      <c r="D35" s="21">
        <f t="shared" si="0"/>
        <v>156.9365976145637</v>
      </c>
      <c r="E35" s="21"/>
      <c r="F35" s="21"/>
      <c r="G35" s="21"/>
      <c r="H35" s="21">
        <f t="shared" si="6"/>
        <v>14666.666666666664</v>
      </c>
      <c r="I35" s="21">
        <f t="shared" si="1"/>
        <v>444.44444444444446</v>
      </c>
      <c r="J35" s="21">
        <f t="shared" si="2"/>
        <v>158.88888888888889</v>
      </c>
      <c r="K35" s="22">
        <f>F35+I35+J35+E35</f>
        <v>603.3333333333334</v>
      </c>
      <c r="L35" s="22">
        <f t="shared" si="4"/>
        <v>315.82548650345257</v>
      </c>
      <c r="M35" s="22">
        <f t="shared" si="5"/>
        <v>63.16509730069052</v>
      </c>
      <c r="N35" s="28"/>
    </row>
    <row r="36" spans="2:14" ht="12.75">
      <c r="B36" s="27">
        <v>5</v>
      </c>
      <c r="C36" s="21">
        <f t="shared" si="3"/>
        <v>16321.406151914627</v>
      </c>
      <c r="D36" s="21">
        <f t="shared" si="0"/>
        <v>156.9365976145637</v>
      </c>
      <c r="E36" s="21"/>
      <c r="F36" s="21"/>
      <c r="G36" s="21"/>
      <c r="H36" s="21">
        <f t="shared" si="6"/>
        <v>14222.222222222219</v>
      </c>
      <c r="I36" s="21">
        <f t="shared" si="1"/>
        <v>444.44444444444446</v>
      </c>
      <c r="J36" s="21">
        <f t="shared" si="2"/>
        <v>154.07407407407405</v>
      </c>
      <c r="K36" s="22">
        <f t="shared" si="7"/>
        <v>598.5185185185185</v>
      </c>
      <c r="L36" s="22">
        <f t="shared" si="4"/>
        <v>311.0106716886378</v>
      </c>
      <c r="M36" s="22">
        <f t="shared" si="5"/>
        <v>62.20213433772756</v>
      </c>
      <c r="N36" s="28"/>
    </row>
    <row r="37" spans="2:14" ht="12.75">
      <c r="B37" s="27">
        <v>6</v>
      </c>
      <c r="C37" s="21">
        <f t="shared" si="3"/>
        <v>16164.469554300063</v>
      </c>
      <c r="D37" s="21">
        <f t="shared" si="0"/>
        <v>156.9365976145637</v>
      </c>
      <c r="E37" s="21"/>
      <c r="F37" s="21"/>
      <c r="G37" s="21"/>
      <c r="H37" s="21">
        <f t="shared" si="6"/>
        <v>13777.777777777774</v>
      </c>
      <c r="I37" s="21">
        <f t="shared" si="1"/>
        <v>444.44444444444446</v>
      </c>
      <c r="J37" s="21">
        <f t="shared" si="2"/>
        <v>149.2592592592592</v>
      </c>
      <c r="K37" s="22">
        <f t="shared" si="7"/>
        <v>593.7037037037037</v>
      </c>
      <c r="L37" s="22">
        <f t="shared" si="4"/>
        <v>306.1958568738229</v>
      </c>
      <c r="M37" s="22">
        <f t="shared" si="5"/>
        <v>61.23917137476458</v>
      </c>
      <c r="N37" s="28"/>
    </row>
    <row r="38" spans="2:14" ht="12.75">
      <c r="B38" s="27">
        <v>7</v>
      </c>
      <c r="C38" s="21">
        <f t="shared" si="3"/>
        <v>16007.5329566855</v>
      </c>
      <c r="D38" s="21">
        <f t="shared" si="0"/>
        <v>156.9365976145637</v>
      </c>
      <c r="E38" s="21"/>
      <c r="F38" s="21"/>
      <c r="G38" s="21"/>
      <c r="H38" s="21">
        <f t="shared" si="6"/>
        <v>13333.333333333328</v>
      </c>
      <c r="I38" s="21">
        <f t="shared" si="1"/>
        <v>444.44444444444446</v>
      </c>
      <c r="J38" s="21">
        <f t="shared" si="2"/>
        <v>144.4444444444444</v>
      </c>
      <c r="K38" s="22">
        <f t="shared" si="7"/>
        <v>588.8888888888889</v>
      </c>
      <c r="L38" s="22">
        <f t="shared" si="4"/>
        <v>301.3810420590081</v>
      </c>
      <c r="M38" s="22">
        <f t="shared" si="5"/>
        <v>60.276208411801626</v>
      </c>
      <c r="N38" s="28"/>
    </row>
    <row r="39" spans="2:14" ht="12.75">
      <c r="B39" s="27">
        <v>8</v>
      </c>
      <c r="C39" s="21">
        <f t="shared" si="3"/>
        <v>15850.596359070936</v>
      </c>
      <c r="D39" s="21">
        <f t="shared" si="0"/>
        <v>156.9365976145637</v>
      </c>
      <c r="E39" s="21"/>
      <c r="F39" s="21"/>
      <c r="G39" s="21"/>
      <c r="H39" s="21">
        <f t="shared" si="6"/>
        <v>12888.888888888883</v>
      </c>
      <c r="I39" s="21">
        <f t="shared" si="1"/>
        <v>444.44444444444446</v>
      </c>
      <c r="J39" s="21">
        <f t="shared" si="2"/>
        <v>139.6296296296296</v>
      </c>
      <c r="K39" s="22">
        <f t="shared" si="7"/>
        <v>584.074074074074</v>
      </c>
      <c r="L39" s="22">
        <f t="shared" si="4"/>
        <v>296.5662272441933</v>
      </c>
      <c r="M39" s="22">
        <f t="shared" si="5"/>
        <v>59.31324544883867</v>
      </c>
      <c r="N39" s="28"/>
    </row>
    <row r="40" spans="2:14" ht="12.75">
      <c r="B40" s="27">
        <v>9</v>
      </c>
      <c r="C40" s="21">
        <f t="shared" si="3"/>
        <v>15693.659761456373</v>
      </c>
      <c r="D40" s="21">
        <f t="shared" si="0"/>
        <v>156.9365976145637</v>
      </c>
      <c r="E40" s="21"/>
      <c r="F40" s="21"/>
      <c r="G40" s="21"/>
      <c r="H40" s="21">
        <f t="shared" si="6"/>
        <v>12444.444444444438</v>
      </c>
      <c r="I40" s="21">
        <f t="shared" si="1"/>
        <v>444.44444444444446</v>
      </c>
      <c r="J40" s="21">
        <f t="shared" si="2"/>
        <v>134.81481481481475</v>
      </c>
      <c r="K40" s="22">
        <f t="shared" si="7"/>
        <v>579.2592592592592</v>
      </c>
      <c r="L40" s="22">
        <f t="shared" si="4"/>
        <v>291.75141242937843</v>
      </c>
      <c r="M40" s="22">
        <f t="shared" si="5"/>
        <v>58.35028248587569</v>
      </c>
      <c r="N40" s="28"/>
    </row>
    <row r="41" spans="2:14" ht="12.75">
      <c r="B41" s="27">
        <v>10</v>
      </c>
      <c r="C41" s="21">
        <f t="shared" si="3"/>
        <v>15536.723163841809</v>
      </c>
      <c r="D41" s="21">
        <f t="shared" si="0"/>
        <v>156.9365976145637</v>
      </c>
      <c r="E41" s="21"/>
      <c r="F41" s="21"/>
      <c r="G41" s="21"/>
      <c r="H41" s="21">
        <f t="shared" si="6"/>
        <v>11999.999999999993</v>
      </c>
      <c r="I41" s="21">
        <f t="shared" si="1"/>
        <v>444.44444444444446</v>
      </c>
      <c r="J41" s="21">
        <f t="shared" si="2"/>
        <v>129.99999999999991</v>
      </c>
      <c r="K41" s="22">
        <f t="shared" si="7"/>
        <v>574.4444444444443</v>
      </c>
      <c r="L41" s="22">
        <f t="shared" si="4"/>
        <v>286.93659761456365</v>
      </c>
      <c r="M41" s="22">
        <f t="shared" si="5"/>
        <v>57.38731952291273</v>
      </c>
      <c r="N41" s="28"/>
    </row>
    <row r="42" spans="2:14" ht="12.75">
      <c r="B42" s="27">
        <v>11</v>
      </c>
      <c r="C42" s="21">
        <f t="shared" si="3"/>
        <v>15379.786566227245</v>
      </c>
      <c r="D42" s="21">
        <f t="shared" si="0"/>
        <v>156.9365976145637</v>
      </c>
      <c r="E42" s="21"/>
      <c r="F42" s="21"/>
      <c r="G42" s="21"/>
      <c r="H42" s="21">
        <f t="shared" si="6"/>
        <v>11555.555555555547</v>
      </c>
      <c r="I42" s="21">
        <f t="shared" si="1"/>
        <v>444.44444444444446</v>
      </c>
      <c r="J42" s="21">
        <f t="shared" si="2"/>
        <v>125.1851851851851</v>
      </c>
      <c r="K42" s="22">
        <f t="shared" si="7"/>
        <v>569.6296296296296</v>
      </c>
      <c r="L42" s="22">
        <f t="shared" si="4"/>
        <v>282.1217827997488</v>
      </c>
      <c r="M42" s="22">
        <f t="shared" si="5"/>
        <v>56.424356559949764</v>
      </c>
      <c r="N42" s="28"/>
    </row>
    <row r="43" spans="2:14" ht="12.75">
      <c r="B43" s="27">
        <v>12</v>
      </c>
      <c r="C43" s="21">
        <f t="shared" si="3"/>
        <v>15222.849968612682</v>
      </c>
      <c r="D43" s="21">
        <f t="shared" si="0"/>
        <v>156.9365976145637</v>
      </c>
      <c r="E43" s="21">
        <f>(C32+C43)/2*0.022</f>
        <v>353.8920276208412</v>
      </c>
      <c r="F43" s="21"/>
      <c r="G43" s="21"/>
      <c r="H43" s="21">
        <f t="shared" si="6"/>
        <v>11111.111111111102</v>
      </c>
      <c r="I43" s="21">
        <f t="shared" si="1"/>
        <v>444.44444444444446</v>
      </c>
      <c r="J43" s="21">
        <f t="shared" si="2"/>
        <v>120.37037037037028</v>
      </c>
      <c r="K43" s="22">
        <f t="shared" si="7"/>
        <v>918.706842435656</v>
      </c>
      <c r="L43" s="22">
        <f t="shared" si="4"/>
        <v>631.1989956057752</v>
      </c>
      <c r="M43" s="22">
        <f t="shared" si="5"/>
        <v>126.23979912115504</v>
      </c>
      <c r="N43" s="28"/>
    </row>
    <row r="44" spans="2:14" ht="12.75">
      <c r="B44" s="27">
        <v>13</v>
      </c>
      <c r="C44" s="21">
        <f t="shared" si="3"/>
        <v>15065.913370998118</v>
      </c>
      <c r="D44" s="21">
        <f t="shared" si="0"/>
        <v>156.9365976145637</v>
      </c>
      <c r="E44" s="21"/>
      <c r="F44" s="21"/>
      <c r="G44" s="21"/>
      <c r="H44" s="21">
        <f t="shared" si="6"/>
        <v>10666.666666666657</v>
      </c>
      <c r="I44" s="21">
        <f t="shared" si="1"/>
        <v>444.44444444444446</v>
      </c>
      <c r="J44" s="21">
        <f t="shared" si="2"/>
        <v>115.55555555555544</v>
      </c>
      <c r="K44" s="22">
        <f t="shared" si="7"/>
        <v>559.9999999999999</v>
      </c>
      <c r="L44" s="22">
        <f t="shared" si="4"/>
        <v>272.49215317011914</v>
      </c>
      <c r="M44" s="22">
        <f t="shared" si="5"/>
        <v>54.49843063402383</v>
      </c>
      <c r="N44" s="28"/>
    </row>
    <row r="45" spans="2:14" ht="12.75">
      <c r="B45" s="27">
        <v>14</v>
      </c>
      <c r="C45" s="21">
        <f t="shared" si="3"/>
        <v>14908.976773383554</v>
      </c>
      <c r="D45" s="21">
        <f t="shared" si="0"/>
        <v>156.9365976145637</v>
      </c>
      <c r="E45" s="21"/>
      <c r="F45" s="21"/>
      <c r="G45" s="21"/>
      <c r="H45" s="21">
        <f t="shared" si="6"/>
        <v>10222.222222222212</v>
      </c>
      <c r="I45" s="21">
        <f t="shared" si="1"/>
        <v>444.44444444444446</v>
      </c>
      <c r="J45" s="21">
        <f t="shared" si="2"/>
        <v>110.74074074074063</v>
      </c>
      <c r="K45" s="22">
        <f t="shared" si="7"/>
        <v>555.1851851851851</v>
      </c>
      <c r="L45" s="22">
        <f t="shared" si="4"/>
        <v>267.67733835530436</v>
      </c>
      <c r="M45" s="22">
        <f t="shared" si="5"/>
        <v>53.53546767106087</v>
      </c>
      <c r="N45" s="28"/>
    </row>
    <row r="46" spans="2:14" s="7" customFormat="1" ht="12.75">
      <c r="B46" s="27">
        <v>15</v>
      </c>
      <c r="C46" s="21">
        <f t="shared" si="3"/>
        <v>14752.04017576899</v>
      </c>
      <c r="D46" s="21">
        <f t="shared" si="0"/>
        <v>156.9365976145637</v>
      </c>
      <c r="E46" s="21"/>
      <c r="F46" s="21"/>
      <c r="G46" s="21"/>
      <c r="H46" s="21">
        <f t="shared" si="6"/>
        <v>9777.777777777766</v>
      </c>
      <c r="I46" s="21">
        <f t="shared" si="1"/>
        <v>444.44444444444446</v>
      </c>
      <c r="J46" s="21">
        <f t="shared" si="2"/>
        <v>105.92592592592581</v>
      </c>
      <c r="K46" s="22">
        <f t="shared" si="7"/>
        <v>550.3703703703702</v>
      </c>
      <c r="L46" s="22">
        <f t="shared" si="4"/>
        <v>262.8625235404895</v>
      </c>
      <c r="M46" s="22">
        <f t="shared" si="5"/>
        <v>52.57250470809791</v>
      </c>
      <c r="N46" s="28"/>
    </row>
    <row r="47" spans="2:14" ht="12.75">
      <c r="B47" s="27">
        <v>16</v>
      </c>
      <c r="C47" s="21">
        <f t="shared" si="3"/>
        <v>14595.103578154427</v>
      </c>
      <c r="D47" s="21">
        <f t="shared" si="0"/>
        <v>156.9365976145637</v>
      </c>
      <c r="E47" s="21"/>
      <c r="F47" s="21"/>
      <c r="G47" s="21"/>
      <c r="H47" s="21">
        <f t="shared" si="6"/>
        <v>9333.333333333321</v>
      </c>
      <c r="I47" s="21">
        <f t="shared" si="1"/>
        <v>444.44444444444446</v>
      </c>
      <c r="J47" s="21">
        <f t="shared" si="2"/>
        <v>101.11111111111099</v>
      </c>
      <c r="K47" s="22">
        <f t="shared" si="7"/>
        <v>545.5555555555554</v>
      </c>
      <c r="L47" s="22">
        <f t="shared" si="4"/>
        <v>258.0477087256747</v>
      </c>
      <c r="M47" s="22">
        <f t="shared" si="5"/>
        <v>51.60954174513494</v>
      </c>
      <c r="N47" s="28"/>
    </row>
    <row r="48" spans="2:14" ht="12.75">
      <c r="B48" s="27">
        <v>17</v>
      </c>
      <c r="C48" s="21">
        <f t="shared" si="3"/>
        <v>14438.166980539863</v>
      </c>
      <c r="D48" s="21">
        <f t="shared" si="0"/>
        <v>156.9365976145637</v>
      </c>
      <c r="E48" s="21"/>
      <c r="F48" s="21"/>
      <c r="G48" s="21"/>
      <c r="H48" s="21">
        <f t="shared" si="6"/>
        <v>8888.888888888876</v>
      </c>
      <c r="I48" s="21">
        <f t="shared" si="1"/>
        <v>444.44444444444446</v>
      </c>
      <c r="J48" s="21">
        <f t="shared" si="2"/>
        <v>96.29629629629615</v>
      </c>
      <c r="K48" s="22">
        <f t="shared" si="7"/>
        <v>540.7407407407406</v>
      </c>
      <c r="L48" s="22">
        <f t="shared" si="4"/>
        <v>253.23289391085984</v>
      </c>
      <c r="M48" s="22">
        <f t="shared" si="5"/>
        <v>50.64657878217197</v>
      </c>
      <c r="N48" s="28"/>
    </row>
    <row r="49" spans="2:14" s="9" customFormat="1" ht="12.75">
      <c r="B49" s="27">
        <v>18</v>
      </c>
      <c r="C49" s="21">
        <f t="shared" si="3"/>
        <v>14281.2303829253</v>
      </c>
      <c r="D49" s="21">
        <f t="shared" si="0"/>
        <v>156.9365976145637</v>
      </c>
      <c r="E49" s="21"/>
      <c r="F49" s="21"/>
      <c r="G49" s="21"/>
      <c r="H49" s="21">
        <f t="shared" si="6"/>
        <v>8444.44444444443</v>
      </c>
      <c r="I49" s="21">
        <f t="shared" si="1"/>
        <v>444.44444444444446</v>
      </c>
      <c r="J49" s="21">
        <f t="shared" si="2"/>
        <v>91.48148148148134</v>
      </c>
      <c r="K49" s="22">
        <f t="shared" si="7"/>
        <v>535.9259259259258</v>
      </c>
      <c r="L49" s="22">
        <f t="shared" si="4"/>
        <v>248.41807909604506</v>
      </c>
      <c r="M49" s="22">
        <f t="shared" si="5"/>
        <v>49.68361581920902</v>
      </c>
      <c r="N49" s="28"/>
    </row>
    <row r="50" spans="2:14" ht="12.75">
      <c r="B50" s="27">
        <v>19</v>
      </c>
      <c r="C50" s="21">
        <f t="shared" si="3"/>
        <v>14124.293785310736</v>
      </c>
      <c r="D50" s="21">
        <f t="shared" si="0"/>
        <v>156.9365976145637</v>
      </c>
      <c r="E50" s="21"/>
      <c r="F50" s="21"/>
      <c r="G50" s="21"/>
      <c r="H50" s="21">
        <f t="shared" si="6"/>
        <v>7999.999999999986</v>
      </c>
      <c r="I50" s="21">
        <f t="shared" si="1"/>
        <v>444.44444444444446</v>
      </c>
      <c r="J50" s="21">
        <f t="shared" si="2"/>
        <v>86.66666666666652</v>
      </c>
      <c r="K50" s="22">
        <f t="shared" si="7"/>
        <v>531.111111111111</v>
      </c>
      <c r="L50" s="22">
        <f t="shared" si="4"/>
        <v>243.60326428123022</v>
      </c>
      <c r="M50" s="22">
        <f t="shared" si="5"/>
        <v>48.72065285624605</v>
      </c>
      <c r="N50" s="28"/>
    </row>
    <row r="51" spans="2:14" ht="12.75">
      <c r="B51" s="27">
        <v>20</v>
      </c>
      <c r="C51" s="21">
        <f t="shared" si="3"/>
        <v>13967.357187696172</v>
      </c>
      <c r="D51" s="21">
        <f t="shared" si="0"/>
        <v>156.9365976145637</v>
      </c>
      <c r="E51" s="21"/>
      <c r="F51" s="21"/>
      <c r="G51" s="21"/>
      <c r="H51" s="21">
        <f t="shared" si="6"/>
        <v>7555.555555555542</v>
      </c>
      <c r="I51" s="21">
        <f t="shared" si="1"/>
        <v>444.44444444444446</v>
      </c>
      <c r="J51" s="21">
        <f t="shared" si="2"/>
        <v>81.8518518518517</v>
      </c>
      <c r="K51" s="22">
        <f t="shared" si="7"/>
        <v>526.2962962962962</v>
      </c>
      <c r="L51" s="22">
        <f t="shared" si="4"/>
        <v>238.78844946641541</v>
      </c>
      <c r="M51" s="22">
        <f t="shared" si="5"/>
        <v>47.757689893283086</v>
      </c>
      <c r="N51" s="28"/>
    </row>
    <row r="52" spans="2:14" ht="12.75">
      <c r="B52" s="27">
        <v>21</v>
      </c>
      <c r="C52" s="21">
        <f t="shared" si="3"/>
        <v>13810.420590081609</v>
      </c>
      <c r="D52" s="21">
        <f t="shared" si="0"/>
        <v>156.9365976145637</v>
      </c>
      <c r="E52" s="21"/>
      <c r="F52" s="21"/>
      <c r="G52" s="21"/>
      <c r="H52" s="21">
        <f t="shared" si="6"/>
        <v>7111.111111111098</v>
      </c>
      <c r="I52" s="21">
        <f t="shared" si="1"/>
        <v>444.44444444444446</v>
      </c>
      <c r="J52" s="21">
        <f t="shared" si="2"/>
        <v>77.0370370370369</v>
      </c>
      <c r="K52" s="22">
        <f t="shared" si="7"/>
        <v>521.4814814814813</v>
      </c>
      <c r="L52" s="22">
        <f t="shared" si="4"/>
        <v>233.9736346516006</v>
      </c>
      <c r="M52" s="22">
        <f t="shared" si="5"/>
        <v>46.794726930320124</v>
      </c>
      <c r="N52" s="28"/>
    </row>
    <row r="53" spans="2:14" ht="12.75">
      <c r="B53" s="27">
        <v>22</v>
      </c>
      <c r="C53" s="21">
        <f t="shared" si="3"/>
        <v>13653.483992467045</v>
      </c>
      <c r="D53" s="21">
        <f t="shared" si="0"/>
        <v>156.9365976145637</v>
      </c>
      <c r="E53" s="21"/>
      <c r="F53" s="21"/>
      <c r="G53" s="21"/>
      <c r="H53" s="21">
        <f t="shared" si="6"/>
        <v>6666.666666666653</v>
      </c>
      <c r="I53" s="21">
        <f t="shared" si="1"/>
        <v>444.44444444444446</v>
      </c>
      <c r="J53" s="21">
        <f t="shared" si="2"/>
        <v>72.22222222222207</v>
      </c>
      <c r="K53" s="22">
        <f t="shared" si="7"/>
        <v>516.6666666666665</v>
      </c>
      <c r="L53" s="22">
        <f t="shared" si="4"/>
        <v>229.15881983678577</v>
      </c>
      <c r="M53" s="22">
        <f t="shared" si="5"/>
        <v>45.831763967357155</v>
      </c>
      <c r="N53" s="28"/>
    </row>
    <row r="54" spans="2:14" ht="12.75">
      <c r="B54" s="46">
        <v>23</v>
      </c>
      <c r="C54" s="47">
        <f t="shared" si="3"/>
        <v>13496.547394852481</v>
      </c>
      <c r="D54" s="47">
        <f t="shared" si="0"/>
        <v>156.9365976145637</v>
      </c>
      <c r="E54" s="47"/>
      <c r="F54" s="47"/>
      <c r="G54" s="47"/>
      <c r="H54" s="47">
        <f t="shared" si="6"/>
        <v>6222.222222222209</v>
      </c>
      <c r="I54" s="47">
        <f t="shared" si="1"/>
        <v>444.44444444444446</v>
      </c>
      <c r="J54" s="47">
        <f t="shared" si="2"/>
        <v>67.40740740740726</v>
      </c>
      <c r="K54" s="48">
        <f t="shared" si="7"/>
        <v>511.85185185185173</v>
      </c>
      <c r="L54" s="48">
        <f t="shared" si="4"/>
        <v>224.344005021971</v>
      </c>
      <c r="M54" s="48">
        <f t="shared" si="5"/>
        <v>44.8688010043942</v>
      </c>
      <c r="N54" s="49"/>
    </row>
    <row r="55" spans="2:14" ht="12.75">
      <c r="B55" s="27">
        <v>24</v>
      </c>
      <c r="C55" s="21">
        <f t="shared" si="3"/>
        <v>13339.610797237918</v>
      </c>
      <c r="D55" s="21">
        <f t="shared" si="0"/>
        <v>156.9365976145637</v>
      </c>
      <c r="E55" s="21">
        <f>(C44+C55)/2*0.022</f>
        <v>312.4607658505964</v>
      </c>
      <c r="F55" s="21"/>
      <c r="G55" s="21"/>
      <c r="H55" s="21">
        <f t="shared" si="6"/>
        <v>5777.777777777765</v>
      </c>
      <c r="I55" s="21">
        <f t="shared" si="1"/>
        <v>444.44444444444446</v>
      </c>
      <c r="J55" s="21">
        <f t="shared" si="2"/>
        <v>62.592592592592446</v>
      </c>
      <c r="K55" s="22">
        <f t="shared" si="7"/>
        <v>819.4978028876333</v>
      </c>
      <c r="L55" s="22">
        <f t="shared" si="4"/>
        <v>531.9899560577526</v>
      </c>
      <c r="M55" s="22">
        <f t="shared" si="5"/>
        <v>106.39799121155052</v>
      </c>
      <c r="N55" s="50"/>
    </row>
    <row r="56" spans="2:14" ht="12.75">
      <c r="B56" s="27">
        <v>25</v>
      </c>
      <c r="C56" s="21">
        <f t="shared" si="3"/>
        <v>13182.674199623354</v>
      </c>
      <c r="D56" s="21">
        <f t="shared" si="0"/>
        <v>156.9365976145637</v>
      </c>
      <c r="E56" s="21"/>
      <c r="F56" s="21"/>
      <c r="G56" s="21"/>
      <c r="H56" s="21">
        <f t="shared" si="6"/>
        <v>5333.33333333332</v>
      </c>
      <c r="I56" s="21">
        <f t="shared" si="1"/>
        <v>444.44444444444446</v>
      </c>
      <c r="J56" s="21">
        <f t="shared" si="2"/>
        <v>57.77777777777764</v>
      </c>
      <c r="K56" s="22">
        <f t="shared" si="7"/>
        <v>502.2222222222221</v>
      </c>
      <c r="L56" s="22">
        <f t="shared" si="4"/>
        <v>214.71437539234134</v>
      </c>
      <c r="M56" s="22">
        <f t="shared" si="5"/>
        <v>42.94287507846827</v>
      </c>
      <c r="N56" s="50"/>
    </row>
    <row r="57" spans="2:14" ht="12.75">
      <c r="B57" s="27">
        <v>26</v>
      </c>
      <c r="C57" s="21">
        <f t="shared" si="3"/>
        <v>13025.73760200879</v>
      </c>
      <c r="D57" s="21">
        <f t="shared" si="0"/>
        <v>156.9365976145637</v>
      </c>
      <c r="E57" s="21"/>
      <c r="F57" s="21"/>
      <c r="G57" s="21"/>
      <c r="H57" s="21">
        <f t="shared" si="6"/>
        <v>4888.888888888876</v>
      </c>
      <c r="I57" s="21">
        <f t="shared" si="1"/>
        <v>444.44444444444446</v>
      </c>
      <c r="J57" s="21">
        <f t="shared" si="2"/>
        <v>52.96296296296283</v>
      </c>
      <c r="K57" s="22">
        <f t="shared" si="7"/>
        <v>497.4074074074073</v>
      </c>
      <c r="L57" s="22">
        <f t="shared" si="4"/>
        <v>209.89956057752653</v>
      </c>
      <c r="M57" s="22">
        <f t="shared" si="5"/>
        <v>41.97991211550531</v>
      </c>
      <c r="N57" s="50"/>
    </row>
    <row r="58" spans="2:14" ht="12.75">
      <c r="B58" s="27">
        <v>27</v>
      </c>
      <c r="C58" s="21">
        <f t="shared" si="3"/>
        <v>12868.801004394227</v>
      </c>
      <c r="D58" s="21">
        <f t="shared" si="0"/>
        <v>156.9365976145637</v>
      </c>
      <c r="E58" s="21"/>
      <c r="F58" s="21"/>
      <c r="G58" s="21"/>
      <c r="H58" s="21">
        <f t="shared" si="6"/>
        <v>4444.444444444432</v>
      </c>
      <c r="I58" s="21">
        <f t="shared" si="1"/>
        <v>444.44444444444446</v>
      </c>
      <c r="J58" s="21">
        <f t="shared" si="2"/>
        <v>48.14814814814801</v>
      </c>
      <c r="K58" s="22">
        <f t="shared" si="7"/>
        <v>492.5925925925925</v>
      </c>
      <c r="L58" s="22">
        <f t="shared" si="4"/>
        <v>205.08474576271172</v>
      </c>
      <c r="M58" s="22">
        <f t="shared" si="5"/>
        <v>41.016949152542345</v>
      </c>
      <c r="N58" s="50"/>
    </row>
    <row r="59" spans="2:14" ht="12.75">
      <c r="B59" s="27">
        <v>28</v>
      </c>
      <c r="C59" s="21">
        <f t="shared" si="3"/>
        <v>12711.864406779663</v>
      </c>
      <c r="D59" s="21">
        <f t="shared" si="0"/>
        <v>156.9365976145637</v>
      </c>
      <c r="E59" s="21"/>
      <c r="F59" s="21"/>
      <c r="G59" s="21"/>
      <c r="H59" s="21">
        <f t="shared" si="6"/>
        <v>3999.9999999999873</v>
      </c>
      <c r="I59" s="21">
        <f t="shared" si="1"/>
        <v>444.44444444444446</v>
      </c>
      <c r="J59" s="21">
        <f t="shared" si="2"/>
        <v>43.3333333333332</v>
      </c>
      <c r="K59" s="22">
        <f t="shared" si="7"/>
        <v>487.77777777777766</v>
      </c>
      <c r="L59" s="22">
        <f t="shared" si="4"/>
        <v>200.2699309478969</v>
      </c>
      <c r="M59" s="22">
        <f t="shared" si="5"/>
        <v>40.05398618957938</v>
      </c>
      <c r="N59" s="50"/>
    </row>
    <row r="60" spans="2:14" ht="12.75">
      <c r="B60" s="27">
        <v>29</v>
      </c>
      <c r="C60" s="21">
        <f t="shared" si="3"/>
        <v>12554.9278091651</v>
      </c>
      <c r="D60" s="21">
        <f t="shared" si="0"/>
        <v>156.9365976145637</v>
      </c>
      <c r="E60" s="21"/>
      <c r="F60" s="21"/>
      <c r="G60" s="21"/>
      <c r="H60" s="21">
        <f t="shared" si="6"/>
        <v>3555.555555555543</v>
      </c>
      <c r="I60" s="21">
        <f t="shared" si="1"/>
        <v>444.44444444444446</v>
      </c>
      <c r="J60" s="21">
        <f t="shared" si="2"/>
        <v>38.518518518518384</v>
      </c>
      <c r="K60" s="22">
        <f t="shared" si="7"/>
        <v>482.9629629629628</v>
      </c>
      <c r="L60" s="22">
        <f t="shared" si="4"/>
        <v>195.4551161330821</v>
      </c>
      <c r="M60" s="22">
        <f t="shared" si="5"/>
        <v>39.09102322661642</v>
      </c>
      <c r="N60" s="50"/>
    </row>
    <row r="61" spans="2:14" ht="12.75">
      <c r="B61" s="27">
        <v>30</v>
      </c>
      <c r="C61" s="21">
        <f t="shared" si="3"/>
        <v>12397.991211550536</v>
      </c>
      <c r="D61" s="21">
        <f t="shared" si="0"/>
        <v>156.9365976145637</v>
      </c>
      <c r="E61" s="21"/>
      <c r="F61" s="21"/>
      <c r="G61" s="21"/>
      <c r="H61" s="21">
        <f t="shared" si="6"/>
        <v>3111.1111111110986</v>
      </c>
      <c r="I61" s="21">
        <f t="shared" si="1"/>
        <v>444.44444444444446</v>
      </c>
      <c r="J61" s="21">
        <f t="shared" si="2"/>
        <v>33.70370370370357</v>
      </c>
      <c r="K61" s="22">
        <f t="shared" si="7"/>
        <v>478.14814814814804</v>
      </c>
      <c r="L61" s="22">
        <f t="shared" si="4"/>
        <v>190.6403013182673</v>
      </c>
      <c r="M61" s="22">
        <f t="shared" si="5"/>
        <v>38.12806026365346</v>
      </c>
      <c r="N61" s="50"/>
    </row>
    <row r="62" spans="2:14" ht="12.75">
      <c r="B62" s="27">
        <v>31</v>
      </c>
      <c r="C62" s="21">
        <f t="shared" si="3"/>
        <v>12241.054613935972</v>
      </c>
      <c r="D62" s="21">
        <f t="shared" si="0"/>
        <v>156.9365976145637</v>
      </c>
      <c r="E62" s="21"/>
      <c r="F62" s="21"/>
      <c r="G62" s="21"/>
      <c r="H62" s="21">
        <f t="shared" si="6"/>
        <v>2666.6666666666542</v>
      </c>
      <c r="I62" s="21">
        <f t="shared" si="1"/>
        <v>444.44444444444446</v>
      </c>
      <c r="J62" s="21">
        <f t="shared" si="2"/>
        <v>28.888888888888754</v>
      </c>
      <c r="K62" s="22">
        <f t="shared" si="7"/>
        <v>473.3333333333332</v>
      </c>
      <c r="L62" s="22">
        <f t="shared" si="4"/>
        <v>185.82548650345245</v>
      </c>
      <c r="M62" s="22">
        <f t="shared" si="5"/>
        <v>37.16509730069049</v>
      </c>
      <c r="N62" s="50"/>
    </row>
    <row r="63" spans="2:14" ht="12.75">
      <c r="B63" s="27">
        <v>32</v>
      </c>
      <c r="C63" s="21">
        <f t="shared" si="3"/>
        <v>12084.118016321409</v>
      </c>
      <c r="D63" s="21">
        <f t="shared" si="0"/>
        <v>156.9365976145637</v>
      </c>
      <c r="E63" s="21"/>
      <c r="F63" s="21"/>
      <c r="G63" s="21"/>
      <c r="H63" s="21">
        <f t="shared" si="6"/>
        <v>2222.22222222221</v>
      </c>
      <c r="I63" s="21">
        <f t="shared" si="1"/>
        <v>444.44444444444446</v>
      </c>
      <c r="J63" s="21">
        <f t="shared" si="2"/>
        <v>24.074074074073945</v>
      </c>
      <c r="K63" s="22">
        <f t="shared" si="7"/>
        <v>468.5185185185184</v>
      </c>
      <c r="L63" s="22">
        <f t="shared" si="4"/>
        <v>181.01067168863764</v>
      </c>
      <c r="M63" s="22">
        <f t="shared" si="5"/>
        <v>36.20213433772753</v>
      </c>
      <c r="N63" s="50"/>
    </row>
    <row r="64" spans="2:14" ht="12.75">
      <c r="B64" s="27">
        <v>33</v>
      </c>
      <c r="C64" s="21">
        <f t="shared" si="3"/>
        <v>11927.181418706845</v>
      </c>
      <c r="D64" s="21">
        <f t="shared" si="0"/>
        <v>156.9365976145637</v>
      </c>
      <c r="E64" s="21"/>
      <c r="F64" s="21"/>
      <c r="G64" s="21"/>
      <c r="H64" s="21">
        <f t="shared" si="6"/>
        <v>1777.7777777777656</v>
      </c>
      <c r="I64" s="21">
        <f t="shared" si="1"/>
        <v>444.44444444444446</v>
      </c>
      <c r="J64" s="21">
        <f t="shared" si="2"/>
        <v>19.259259259259128</v>
      </c>
      <c r="K64" s="22">
        <f t="shared" si="7"/>
        <v>463.7037037037036</v>
      </c>
      <c r="L64" s="22">
        <f t="shared" si="4"/>
        <v>176.19585687382283</v>
      </c>
      <c r="M64" s="22">
        <f t="shared" si="5"/>
        <v>35.23917137476457</v>
      </c>
      <c r="N64" s="50"/>
    </row>
    <row r="65" spans="2:14" ht="12.75">
      <c r="B65" s="27">
        <v>34</v>
      </c>
      <c r="C65" s="21">
        <f t="shared" si="3"/>
        <v>11770.244821092281</v>
      </c>
      <c r="D65" s="21">
        <f t="shared" si="0"/>
        <v>156.9365976145637</v>
      </c>
      <c r="E65" s="21"/>
      <c r="F65" s="21"/>
      <c r="G65" s="21"/>
      <c r="H65" s="21">
        <f t="shared" si="6"/>
        <v>1333.3333333333212</v>
      </c>
      <c r="I65" s="21">
        <f t="shared" si="1"/>
        <v>444.44444444444446</v>
      </c>
      <c r="J65" s="21">
        <f t="shared" si="2"/>
        <v>14.444444444444313</v>
      </c>
      <c r="K65" s="22">
        <f t="shared" si="7"/>
        <v>458.88888888888874</v>
      </c>
      <c r="L65" s="22">
        <f t="shared" si="4"/>
        <v>171.38104205900802</v>
      </c>
      <c r="M65" s="22">
        <f t="shared" si="5"/>
        <v>34.276208411801605</v>
      </c>
      <c r="N65" s="50"/>
    </row>
    <row r="66" spans="2:14" ht="12.75">
      <c r="B66" s="27">
        <v>35</v>
      </c>
      <c r="C66" s="21">
        <f t="shared" si="3"/>
        <v>11613.308223477718</v>
      </c>
      <c r="D66" s="21">
        <f>($F$9/1.18)/$F$12</f>
        <v>156.9365976145637</v>
      </c>
      <c r="E66" s="21"/>
      <c r="F66" s="21"/>
      <c r="G66" s="21"/>
      <c r="H66" s="21">
        <f t="shared" si="6"/>
        <v>888.8888888888767</v>
      </c>
      <c r="I66" s="21">
        <f t="shared" si="1"/>
        <v>444.44444444444446</v>
      </c>
      <c r="J66" s="21">
        <f t="shared" si="2"/>
        <v>9.629629629629498</v>
      </c>
      <c r="K66" s="22">
        <f t="shared" si="7"/>
        <v>454.07407407407396</v>
      </c>
      <c r="L66" s="22">
        <f t="shared" si="4"/>
        <v>166.56622724419321</v>
      </c>
      <c r="M66" s="22">
        <f t="shared" si="5"/>
        <v>33.31324544883864</v>
      </c>
      <c r="N66" s="50"/>
    </row>
    <row r="67" spans="2:14" ht="13.5" thickBot="1">
      <c r="B67" s="51">
        <v>36</v>
      </c>
      <c r="C67" s="52">
        <f t="shared" si="3"/>
        <v>11456.371625863154</v>
      </c>
      <c r="D67" s="52">
        <f>($F$9/1.18)/$F$12</f>
        <v>156.9365976145637</v>
      </c>
      <c r="E67" s="52">
        <f>(C56+C67)/2*0.022</f>
        <v>271.02950408035156</v>
      </c>
      <c r="F67" s="52"/>
      <c r="G67" s="52"/>
      <c r="H67" s="52">
        <f t="shared" si="6"/>
        <v>444.4444444444323</v>
      </c>
      <c r="I67" s="52">
        <f>$G$31/$F$10</f>
        <v>444.44444444444446</v>
      </c>
      <c r="J67" s="52">
        <f t="shared" si="2"/>
        <v>4.814814814814683</v>
      </c>
      <c r="K67" s="29">
        <f t="shared" si="7"/>
        <v>720.2887633396107</v>
      </c>
      <c r="L67" s="29">
        <f t="shared" si="4"/>
        <v>432.78091650973</v>
      </c>
      <c r="M67" s="29">
        <f t="shared" si="5"/>
        <v>86.556183301946</v>
      </c>
      <c r="N67" s="53"/>
    </row>
    <row r="68" spans="2:14" ht="12.75">
      <c r="B68" s="19"/>
      <c r="C68" s="19"/>
      <c r="D68" s="19">
        <f aca="true" t="shared" si="8" ref="D68:N68">SUM(D31:D67)</f>
        <v>5649.717514124292</v>
      </c>
      <c r="E68" s="19">
        <f t="shared" si="8"/>
        <v>937.3822975517891</v>
      </c>
      <c r="F68" s="19">
        <f t="shared" si="8"/>
        <v>4000</v>
      </c>
      <c r="G68" s="19">
        <f t="shared" si="8"/>
        <v>16000</v>
      </c>
      <c r="H68" s="19">
        <f t="shared" si="8"/>
        <v>295999.99999999965</v>
      </c>
      <c r="I68" s="19">
        <f t="shared" si="8"/>
        <v>16000.000000000013</v>
      </c>
      <c r="J68" s="19">
        <f t="shared" si="8"/>
        <v>3206.6666666666633</v>
      </c>
      <c r="K68" s="19">
        <f t="shared" si="8"/>
        <v>24144.04896421845</v>
      </c>
      <c r="L68" s="19">
        <f t="shared" si="8"/>
        <v>9793.766478342748</v>
      </c>
      <c r="M68" s="19">
        <f t="shared" si="8"/>
        <v>1958.7532956685495</v>
      </c>
      <c r="N68" s="19">
        <f t="shared" si="8"/>
        <v>3050.8474576271187</v>
      </c>
    </row>
    <row r="71" ht="18">
      <c r="B71" s="15" t="s">
        <v>32</v>
      </c>
    </row>
    <row r="72" ht="13.5" thickBot="1"/>
    <row r="73" spans="2:10" ht="74.25" customHeight="1" thickBot="1">
      <c r="B73" s="17" t="s">
        <v>6</v>
      </c>
      <c r="C73" s="18" t="s">
        <v>11</v>
      </c>
      <c r="D73" s="18" t="s">
        <v>22</v>
      </c>
      <c r="E73" s="20" t="s">
        <v>12</v>
      </c>
      <c r="F73" s="18" t="s">
        <v>22</v>
      </c>
      <c r="G73" s="18" t="s">
        <v>5</v>
      </c>
      <c r="H73" s="18" t="s">
        <v>13</v>
      </c>
      <c r="I73" s="1"/>
      <c r="J73" s="1"/>
    </row>
    <row r="74" spans="2:10" ht="12.75">
      <c r="B74" s="54">
        <v>0</v>
      </c>
      <c r="C74" s="55">
        <f>F9*F11</f>
        <v>4000</v>
      </c>
      <c r="D74" s="55">
        <f>C74*18/118</f>
        <v>610.1694915254237</v>
      </c>
      <c r="E74" s="56"/>
      <c r="F74" s="55"/>
      <c r="G74" s="55"/>
      <c r="H74" s="57"/>
      <c r="I74" s="1"/>
      <c r="J74" s="1"/>
    </row>
    <row r="75" spans="2:14" ht="12.75">
      <c r="B75" s="58">
        <v>1</v>
      </c>
      <c r="C75" s="59">
        <v>697.89</v>
      </c>
      <c r="D75" s="59">
        <f aca="true" t="shared" si="9" ref="D75:D110">C75*18/118</f>
        <v>106.4577966101695</v>
      </c>
      <c r="E75" s="59">
        <v>809</v>
      </c>
      <c r="F75" s="37">
        <f>E75*18/118</f>
        <v>123.40677966101696</v>
      </c>
      <c r="G75" s="37">
        <f>E75/1.18*0.2</f>
        <v>137.11864406779662</v>
      </c>
      <c r="H75" s="42">
        <f>F75</f>
        <v>123.40677966101696</v>
      </c>
      <c r="I75" s="8"/>
      <c r="J75" s="105" t="s">
        <v>23</v>
      </c>
      <c r="K75" s="105"/>
      <c r="L75" s="105"/>
      <c r="M75" s="105"/>
      <c r="N75" s="9"/>
    </row>
    <row r="76" spans="2:13" ht="12.75">
      <c r="B76" s="58">
        <v>2</v>
      </c>
      <c r="C76" s="59">
        <v>697.89</v>
      </c>
      <c r="D76" s="59">
        <f t="shared" si="9"/>
        <v>106.4577966101695</v>
      </c>
      <c r="E76" s="59">
        <v>809</v>
      </c>
      <c r="F76" s="37">
        <f aca="true" t="shared" si="10" ref="F76:F110">E76*18/118</f>
        <v>123.40677966101696</v>
      </c>
      <c r="G76" s="37">
        <f aca="true" t="shared" si="11" ref="G76:G110">E76/1.18*0.2</f>
        <v>137.11864406779662</v>
      </c>
      <c r="H76" s="42">
        <f aca="true" t="shared" si="12" ref="H76:H110">F76</f>
        <v>123.40677966101696</v>
      </c>
      <c r="I76" s="1"/>
      <c r="J76" s="105"/>
      <c r="K76" s="105"/>
      <c r="L76" s="105"/>
      <c r="M76" s="105"/>
    </row>
    <row r="77" spans="2:8" ht="12.75">
      <c r="B77" s="58">
        <v>3</v>
      </c>
      <c r="C77" s="59">
        <v>697.89</v>
      </c>
      <c r="D77" s="59">
        <f t="shared" si="9"/>
        <v>106.4577966101695</v>
      </c>
      <c r="E77" s="59">
        <v>809</v>
      </c>
      <c r="F77" s="37">
        <f t="shared" si="10"/>
        <v>123.40677966101696</v>
      </c>
      <c r="G77" s="37">
        <f t="shared" si="11"/>
        <v>137.11864406779662</v>
      </c>
      <c r="H77" s="42">
        <f t="shared" si="12"/>
        <v>123.40677966101696</v>
      </c>
    </row>
    <row r="78" spans="2:13" ht="12.75">
      <c r="B78" s="58">
        <v>4</v>
      </c>
      <c r="C78" s="59">
        <v>697.89</v>
      </c>
      <c r="D78" s="59">
        <f t="shared" si="9"/>
        <v>106.4577966101695</v>
      </c>
      <c r="E78" s="59">
        <v>809</v>
      </c>
      <c r="F78" s="37">
        <f t="shared" si="10"/>
        <v>123.40677966101696</v>
      </c>
      <c r="G78" s="37">
        <f t="shared" si="11"/>
        <v>137.11864406779662</v>
      </c>
      <c r="H78" s="42">
        <f t="shared" si="12"/>
        <v>123.40677966101696</v>
      </c>
      <c r="J78" s="106" t="s">
        <v>24</v>
      </c>
      <c r="K78" s="104"/>
      <c r="L78" s="104"/>
      <c r="M78" s="104"/>
    </row>
    <row r="79" spans="2:13" ht="12.75">
      <c r="B79" s="58">
        <v>5</v>
      </c>
      <c r="C79" s="59">
        <v>697.89</v>
      </c>
      <c r="D79" s="59">
        <f t="shared" si="9"/>
        <v>106.4577966101695</v>
      </c>
      <c r="E79" s="59">
        <v>809</v>
      </c>
      <c r="F79" s="37">
        <f t="shared" si="10"/>
        <v>123.40677966101696</v>
      </c>
      <c r="G79" s="37">
        <f t="shared" si="11"/>
        <v>137.11864406779662</v>
      </c>
      <c r="H79" s="42">
        <f t="shared" si="12"/>
        <v>123.40677966101696</v>
      </c>
      <c r="J79" s="104"/>
      <c r="K79" s="104"/>
      <c r="L79" s="104"/>
      <c r="M79" s="104"/>
    </row>
    <row r="80" spans="2:8" ht="12.75">
      <c r="B80" s="58">
        <v>6</v>
      </c>
      <c r="C80" s="59">
        <v>697.89</v>
      </c>
      <c r="D80" s="59">
        <f t="shared" si="9"/>
        <v>106.4577966101695</v>
      </c>
      <c r="E80" s="59">
        <v>809</v>
      </c>
      <c r="F80" s="37">
        <f t="shared" si="10"/>
        <v>123.40677966101696</v>
      </c>
      <c r="G80" s="37">
        <f t="shared" si="11"/>
        <v>137.11864406779662</v>
      </c>
      <c r="H80" s="42">
        <f t="shared" si="12"/>
        <v>123.40677966101696</v>
      </c>
    </row>
    <row r="81" spans="2:13" ht="12.75">
      <c r="B81" s="58">
        <v>7</v>
      </c>
      <c r="C81" s="59">
        <v>697.89</v>
      </c>
      <c r="D81" s="59">
        <f t="shared" si="9"/>
        <v>106.4577966101695</v>
      </c>
      <c r="E81" s="59">
        <v>809</v>
      </c>
      <c r="F81" s="37">
        <f t="shared" si="10"/>
        <v>123.40677966101696</v>
      </c>
      <c r="G81" s="37">
        <f t="shared" si="11"/>
        <v>137.11864406779662</v>
      </c>
      <c r="H81" s="42">
        <f t="shared" si="12"/>
        <v>123.40677966101696</v>
      </c>
      <c r="J81" s="106" t="s">
        <v>25</v>
      </c>
      <c r="K81" s="104"/>
      <c r="L81" s="104"/>
      <c r="M81" s="104"/>
    </row>
    <row r="82" spans="2:13" ht="12.75">
      <c r="B82" s="58">
        <v>8</v>
      </c>
      <c r="C82" s="59">
        <v>697.89</v>
      </c>
      <c r="D82" s="59">
        <f t="shared" si="9"/>
        <v>106.4577966101695</v>
      </c>
      <c r="E82" s="59">
        <v>809</v>
      </c>
      <c r="F82" s="37">
        <f t="shared" si="10"/>
        <v>123.40677966101696</v>
      </c>
      <c r="G82" s="37">
        <f t="shared" si="11"/>
        <v>137.11864406779662</v>
      </c>
      <c r="H82" s="42">
        <f t="shared" si="12"/>
        <v>123.40677966101696</v>
      </c>
      <c r="J82" s="104"/>
      <c r="K82" s="104"/>
      <c r="L82" s="104"/>
      <c r="M82" s="104"/>
    </row>
    <row r="83" spans="2:13" ht="12.75">
      <c r="B83" s="58">
        <v>9</v>
      </c>
      <c r="C83" s="59">
        <v>697.89</v>
      </c>
      <c r="D83" s="59">
        <f t="shared" si="9"/>
        <v>106.4577966101695</v>
      </c>
      <c r="E83" s="59">
        <v>809</v>
      </c>
      <c r="F83" s="37">
        <f t="shared" si="10"/>
        <v>123.40677966101696</v>
      </c>
      <c r="G83" s="37">
        <f t="shared" si="11"/>
        <v>137.11864406779662</v>
      </c>
      <c r="H83" s="42">
        <f t="shared" si="12"/>
        <v>123.40677966101696</v>
      </c>
      <c r="J83" s="104"/>
      <c r="K83" s="104"/>
      <c r="L83" s="104"/>
      <c r="M83" s="104"/>
    </row>
    <row r="84" spans="2:13" ht="12.75">
      <c r="B84" s="58">
        <v>10</v>
      </c>
      <c r="C84" s="59">
        <v>697.89</v>
      </c>
      <c r="D84" s="59">
        <f t="shared" si="9"/>
        <v>106.4577966101695</v>
      </c>
      <c r="E84" s="59">
        <v>809</v>
      </c>
      <c r="F84" s="37">
        <f t="shared" si="10"/>
        <v>123.40677966101696</v>
      </c>
      <c r="G84" s="37">
        <f t="shared" si="11"/>
        <v>137.11864406779662</v>
      </c>
      <c r="H84" s="42">
        <f t="shared" si="12"/>
        <v>123.40677966101696</v>
      </c>
      <c r="J84" s="104"/>
      <c r="K84" s="104"/>
      <c r="L84" s="104"/>
      <c r="M84" s="104"/>
    </row>
    <row r="85" spans="2:8" ht="12.75">
      <c r="B85" s="58">
        <v>11</v>
      </c>
      <c r="C85" s="59">
        <v>697.89</v>
      </c>
      <c r="D85" s="59">
        <f t="shared" si="9"/>
        <v>106.4577966101695</v>
      </c>
      <c r="E85" s="59">
        <v>809</v>
      </c>
      <c r="F85" s="37">
        <f t="shared" si="10"/>
        <v>123.40677966101696</v>
      </c>
      <c r="G85" s="37">
        <f t="shared" si="11"/>
        <v>137.11864406779662</v>
      </c>
      <c r="H85" s="42">
        <f t="shared" si="12"/>
        <v>123.40677966101696</v>
      </c>
    </row>
    <row r="86" spans="2:13" ht="12.75">
      <c r="B86" s="58">
        <v>12</v>
      </c>
      <c r="C86" s="59">
        <v>697.89</v>
      </c>
      <c r="D86" s="59">
        <f t="shared" si="9"/>
        <v>106.4577966101695</v>
      </c>
      <c r="E86" s="59">
        <v>809</v>
      </c>
      <c r="F86" s="37">
        <f t="shared" si="10"/>
        <v>123.40677966101696</v>
      </c>
      <c r="G86" s="37">
        <f t="shared" si="11"/>
        <v>137.11864406779662</v>
      </c>
      <c r="H86" s="42">
        <f t="shared" si="12"/>
        <v>123.40677966101696</v>
      </c>
      <c r="J86" s="106" t="s">
        <v>26</v>
      </c>
      <c r="K86" s="104"/>
      <c r="L86" s="104"/>
      <c r="M86" s="104"/>
    </row>
    <row r="87" spans="2:13" ht="12.75">
      <c r="B87" s="58">
        <v>13</v>
      </c>
      <c r="C87" s="59">
        <v>596.51</v>
      </c>
      <c r="D87" s="59">
        <f t="shared" si="9"/>
        <v>90.99305084745762</v>
      </c>
      <c r="E87" s="59">
        <v>707.62</v>
      </c>
      <c r="F87" s="37">
        <f t="shared" si="10"/>
        <v>107.94203389830508</v>
      </c>
      <c r="G87" s="37">
        <f t="shared" si="11"/>
        <v>119.935593220339</v>
      </c>
      <c r="H87" s="42">
        <f t="shared" si="12"/>
        <v>107.94203389830508</v>
      </c>
      <c r="J87" s="104"/>
      <c r="K87" s="104"/>
      <c r="L87" s="104"/>
      <c r="M87" s="104"/>
    </row>
    <row r="88" spans="2:8" ht="12.75">
      <c r="B88" s="58">
        <v>14</v>
      </c>
      <c r="C88" s="59">
        <v>596.51</v>
      </c>
      <c r="D88" s="59">
        <f t="shared" si="9"/>
        <v>90.99305084745762</v>
      </c>
      <c r="E88" s="59">
        <v>707.62</v>
      </c>
      <c r="F88" s="37">
        <f t="shared" si="10"/>
        <v>107.94203389830508</v>
      </c>
      <c r="G88" s="37">
        <f t="shared" si="11"/>
        <v>119.935593220339</v>
      </c>
      <c r="H88" s="42">
        <f t="shared" si="12"/>
        <v>107.94203389830508</v>
      </c>
    </row>
    <row r="89" spans="2:8" ht="12.75">
      <c r="B89" s="58">
        <v>15</v>
      </c>
      <c r="C89" s="59">
        <v>596.51</v>
      </c>
      <c r="D89" s="59">
        <f t="shared" si="9"/>
        <v>90.99305084745762</v>
      </c>
      <c r="E89" s="59">
        <v>707.62</v>
      </c>
      <c r="F89" s="37">
        <f t="shared" si="10"/>
        <v>107.94203389830508</v>
      </c>
      <c r="G89" s="37">
        <f t="shared" si="11"/>
        <v>119.935593220339</v>
      </c>
      <c r="H89" s="42">
        <f t="shared" si="12"/>
        <v>107.94203389830508</v>
      </c>
    </row>
    <row r="90" spans="2:8" ht="12.75">
      <c r="B90" s="58">
        <v>16</v>
      </c>
      <c r="C90" s="59">
        <v>596.51</v>
      </c>
      <c r="D90" s="59">
        <f t="shared" si="9"/>
        <v>90.99305084745762</v>
      </c>
      <c r="E90" s="59">
        <v>707.62</v>
      </c>
      <c r="F90" s="37">
        <f t="shared" si="10"/>
        <v>107.94203389830508</v>
      </c>
      <c r="G90" s="37">
        <f t="shared" si="11"/>
        <v>119.935593220339</v>
      </c>
      <c r="H90" s="42">
        <f t="shared" si="12"/>
        <v>107.94203389830508</v>
      </c>
    </row>
    <row r="91" spans="2:8" ht="12.75">
      <c r="B91" s="58">
        <v>17</v>
      </c>
      <c r="C91" s="59">
        <v>596.51</v>
      </c>
      <c r="D91" s="59">
        <f t="shared" si="9"/>
        <v>90.99305084745762</v>
      </c>
      <c r="E91" s="59">
        <v>707.62</v>
      </c>
      <c r="F91" s="37">
        <f t="shared" si="10"/>
        <v>107.94203389830508</v>
      </c>
      <c r="G91" s="37">
        <f t="shared" si="11"/>
        <v>119.935593220339</v>
      </c>
      <c r="H91" s="42">
        <f t="shared" si="12"/>
        <v>107.94203389830508</v>
      </c>
    </row>
    <row r="92" spans="2:8" ht="12.75">
      <c r="B92" s="58">
        <v>18</v>
      </c>
      <c r="C92" s="59">
        <v>596.51</v>
      </c>
      <c r="D92" s="59">
        <f t="shared" si="9"/>
        <v>90.99305084745762</v>
      </c>
      <c r="E92" s="59">
        <v>707.62</v>
      </c>
      <c r="F92" s="37">
        <f t="shared" si="10"/>
        <v>107.94203389830508</v>
      </c>
      <c r="G92" s="37">
        <f t="shared" si="11"/>
        <v>119.935593220339</v>
      </c>
      <c r="H92" s="42">
        <f t="shared" si="12"/>
        <v>107.94203389830508</v>
      </c>
    </row>
    <row r="93" spans="2:8" ht="12.75">
      <c r="B93" s="58">
        <v>19</v>
      </c>
      <c r="C93" s="59">
        <v>596.51</v>
      </c>
      <c r="D93" s="59">
        <f t="shared" si="9"/>
        <v>90.99305084745762</v>
      </c>
      <c r="E93" s="59">
        <v>707.62</v>
      </c>
      <c r="F93" s="37">
        <f t="shared" si="10"/>
        <v>107.94203389830508</v>
      </c>
      <c r="G93" s="37">
        <f t="shared" si="11"/>
        <v>119.935593220339</v>
      </c>
      <c r="H93" s="42">
        <f t="shared" si="12"/>
        <v>107.94203389830508</v>
      </c>
    </row>
    <row r="94" spans="2:8" ht="12.75">
      <c r="B94" s="58">
        <v>20</v>
      </c>
      <c r="C94" s="59">
        <v>596.51</v>
      </c>
      <c r="D94" s="59">
        <f t="shared" si="9"/>
        <v>90.99305084745762</v>
      </c>
      <c r="E94" s="59">
        <v>707.62</v>
      </c>
      <c r="F94" s="37">
        <f t="shared" si="10"/>
        <v>107.94203389830508</v>
      </c>
      <c r="G94" s="37">
        <f t="shared" si="11"/>
        <v>119.935593220339</v>
      </c>
      <c r="H94" s="42">
        <f t="shared" si="12"/>
        <v>107.94203389830508</v>
      </c>
    </row>
    <row r="95" spans="2:8" ht="12.75">
      <c r="B95" s="58">
        <v>21</v>
      </c>
      <c r="C95" s="59">
        <v>596.51</v>
      </c>
      <c r="D95" s="59">
        <f t="shared" si="9"/>
        <v>90.99305084745762</v>
      </c>
      <c r="E95" s="59">
        <v>707.62</v>
      </c>
      <c r="F95" s="37">
        <f t="shared" si="10"/>
        <v>107.94203389830508</v>
      </c>
      <c r="G95" s="37">
        <f t="shared" si="11"/>
        <v>119.935593220339</v>
      </c>
      <c r="H95" s="42">
        <f t="shared" si="12"/>
        <v>107.94203389830508</v>
      </c>
    </row>
    <row r="96" spans="2:8" ht="12.75">
      <c r="B96" s="58">
        <v>22</v>
      </c>
      <c r="C96" s="59">
        <v>596.51</v>
      </c>
      <c r="D96" s="59">
        <f t="shared" si="9"/>
        <v>90.99305084745762</v>
      </c>
      <c r="E96" s="59">
        <v>707.62</v>
      </c>
      <c r="F96" s="37">
        <f t="shared" si="10"/>
        <v>107.94203389830508</v>
      </c>
      <c r="G96" s="37">
        <f t="shared" si="11"/>
        <v>119.935593220339</v>
      </c>
      <c r="H96" s="42">
        <f t="shared" si="12"/>
        <v>107.94203389830508</v>
      </c>
    </row>
    <row r="97" spans="2:8" ht="12.75">
      <c r="B97" s="60">
        <v>23</v>
      </c>
      <c r="C97" s="59">
        <v>596.51</v>
      </c>
      <c r="D97" s="61">
        <f t="shared" si="9"/>
        <v>90.99305084745762</v>
      </c>
      <c r="E97" s="59">
        <v>707.62</v>
      </c>
      <c r="F97" s="62">
        <f t="shared" si="10"/>
        <v>107.94203389830508</v>
      </c>
      <c r="G97" s="62">
        <f t="shared" si="11"/>
        <v>119.935593220339</v>
      </c>
      <c r="H97" s="63">
        <f t="shared" si="12"/>
        <v>107.94203389830508</v>
      </c>
    </row>
    <row r="98" spans="2:8" ht="12.75">
      <c r="B98" s="58">
        <v>24</v>
      </c>
      <c r="C98" s="59">
        <v>596.51</v>
      </c>
      <c r="D98" s="59">
        <f t="shared" si="9"/>
        <v>90.99305084745762</v>
      </c>
      <c r="E98" s="59">
        <v>707.62</v>
      </c>
      <c r="F98" s="37">
        <f t="shared" si="10"/>
        <v>107.94203389830508</v>
      </c>
      <c r="G98" s="37">
        <f t="shared" si="11"/>
        <v>119.935593220339</v>
      </c>
      <c r="H98" s="42">
        <f t="shared" si="12"/>
        <v>107.94203389830508</v>
      </c>
    </row>
    <row r="99" spans="2:8" ht="12.75">
      <c r="B99" s="58">
        <v>25</v>
      </c>
      <c r="C99" s="64">
        <v>495.13</v>
      </c>
      <c r="D99" s="59">
        <f t="shared" si="9"/>
        <v>75.52830508474577</v>
      </c>
      <c r="E99" s="64">
        <v>606.24</v>
      </c>
      <c r="F99" s="37">
        <f t="shared" si="10"/>
        <v>92.47728813559321</v>
      </c>
      <c r="G99" s="37">
        <f t="shared" si="11"/>
        <v>102.75254237288136</v>
      </c>
      <c r="H99" s="42">
        <f t="shared" si="12"/>
        <v>92.47728813559321</v>
      </c>
    </row>
    <row r="100" spans="2:8" ht="12.75">
      <c r="B100" s="58">
        <v>26</v>
      </c>
      <c r="C100" s="64">
        <v>495.13</v>
      </c>
      <c r="D100" s="59">
        <f t="shared" si="9"/>
        <v>75.52830508474577</v>
      </c>
      <c r="E100" s="64">
        <v>606.24</v>
      </c>
      <c r="F100" s="37">
        <f t="shared" si="10"/>
        <v>92.47728813559321</v>
      </c>
      <c r="G100" s="37">
        <f t="shared" si="11"/>
        <v>102.75254237288136</v>
      </c>
      <c r="H100" s="42">
        <f t="shared" si="12"/>
        <v>92.47728813559321</v>
      </c>
    </row>
    <row r="101" spans="2:8" ht="12.75">
      <c r="B101" s="58">
        <v>27</v>
      </c>
      <c r="C101" s="64">
        <v>495.13</v>
      </c>
      <c r="D101" s="59">
        <f t="shared" si="9"/>
        <v>75.52830508474577</v>
      </c>
      <c r="E101" s="64">
        <v>606.24</v>
      </c>
      <c r="F101" s="37">
        <f t="shared" si="10"/>
        <v>92.47728813559321</v>
      </c>
      <c r="G101" s="37">
        <f t="shared" si="11"/>
        <v>102.75254237288136</v>
      </c>
      <c r="H101" s="42">
        <f t="shared" si="12"/>
        <v>92.47728813559321</v>
      </c>
    </row>
    <row r="102" spans="2:8" ht="12.75">
      <c r="B102" s="58">
        <v>28</v>
      </c>
      <c r="C102" s="64">
        <v>495.13</v>
      </c>
      <c r="D102" s="59">
        <f t="shared" si="9"/>
        <v>75.52830508474577</v>
      </c>
      <c r="E102" s="64">
        <v>606.24</v>
      </c>
      <c r="F102" s="37">
        <f t="shared" si="10"/>
        <v>92.47728813559321</v>
      </c>
      <c r="G102" s="37">
        <f t="shared" si="11"/>
        <v>102.75254237288136</v>
      </c>
      <c r="H102" s="42">
        <f t="shared" si="12"/>
        <v>92.47728813559321</v>
      </c>
    </row>
    <row r="103" spans="2:8" ht="12.75">
      <c r="B103" s="58">
        <v>29</v>
      </c>
      <c r="C103" s="64">
        <v>495.13</v>
      </c>
      <c r="D103" s="59">
        <f t="shared" si="9"/>
        <v>75.52830508474577</v>
      </c>
      <c r="E103" s="64">
        <v>606.24</v>
      </c>
      <c r="F103" s="37">
        <f t="shared" si="10"/>
        <v>92.47728813559321</v>
      </c>
      <c r="G103" s="37">
        <f t="shared" si="11"/>
        <v>102.75254237288136</v>
      </c>
      <c r="H103" s="42">
        <f t="shared" si="12"/>
        <v>92.47728813559321</v>
      </c>
    </row>
    <row r="104" spans="2:8" ht="12.75">
      <c r="B104" s="58">
        <v>30</v>
      </c>
      <c r="C104" s="64">
        <v>495.13</v>
      </c>
      <c r="D104" s="59">
        <f t="shared" si="9"/>
        <v>75.52830508474577</v>
      </c>
      <c r="E104" s="64">
        <v>606.24</v>
      </c>
      <c r="F104" s="37">
        <f t="shared" si="10"/>
        <v>92.47728813559321</v>
      </c>
      <c r="G104" s="37">
        <f t="shared" si="11"/>
        <v>102.75254237288136</v>
      </c>
      <c r="H104" s="42">
        <f t="shared" si="12"/>
        <v>92.47728813559321</v>
      </c>
    </row>
    <row r="105" spans="2:8" ht="12.75">
      <c r="B105" s="58">
        <v>31</v>
      </c>
      <c r="C105" s="64">
        <v>495.13</v>
      </c>
      <c r="D105" s="59">
        <f t="shared" si="9"/>
        <v>75.52830508474577</v>
      </c>
      <c r="E105" s="64">
        <v>606.24</v>
      </c>
      <c r="F105" s="37">
        <f t="shared" si="10"/>
        <v>92.47728813559321</v>
      </c>
      <c r="G105" s="37">
        <f t="shared" si="11"/>
        <v>102.75254237288136</v>
      </c>
      <c r="H105" s="42">
        <f t="shared" si="12"/>
        <v>92.47728813559321</v>
      </c>
    </row>
    <row r="106" spans="2:8" ht="12.75">
      <c r="B106" s="58">
        <v>32</v>
      </c>
      <c r="C106" s="64">
        <v>495.13</v>
      </c>
      <c r="D106" s="59">
        <f t="shared" si="9"/>
        <v>75.52830508474577</v>
      </c>
      <c r="E106" s="64">
        <v>606.24</v>
      </c>
      <c r="F106" s="37">
        <f t="shared" si="10"/>
        <v>92.47728813559321</v>
      </c>
      <c r="G106" s="37">
        <f t="shared" si="11"/>
        <v>102.75254237288136</v>
      </c>
      <c r="H106" s="42">
        <f t="shared" si="12"/>
        <v>92.47728813559321</v>
      </c>
    </row>
    <row r="107" spans="2:8" ht="12.75">
      <c r="B107" s="58">
        <v>33</v>
      </c>
      <c r="C107" s="64">
        <v>495.13</v>
      </c>
      <c r="D107" s="59">
        <f t="shared" si="9"/>
        <v>75.52830508474577</v>
      </c>
      <c r="E107" s="64">
        <v>606.24</v>
      </c>
      <c r="F107" s="37">
        <f t="shared" si="10"/>
        <v>92.47728813559321</v>
      </c>
      <c r="G107" s="37">
        <f t="shared" si="11"/>
        <v>102.75254237288136</v>
      </c>
      <c r="H107" s="42">
        <f t="shared" si="12"/>
        <v>92.47728813559321</v>
      </c>
    </row>
    <row r="108" spans="2:8" ht="12.75">
      <c r="B108" s="58">
        <v>34</v>
      </c>
      <c r="C108" s="64">
        <v>495.13</v>
      </c>
      <c r="D108" s="59">
        <f t="shared" si="9"/>
        <v>75.52830508474577</v>
      </c>
      <c r="E108" s="64">
        <v>606.24</v>
      </c>
      <c r="F108" s="37">
        <f t="shared" si="10"/>
        <v>92.47728813559321</v>
      </c>
      <c r="G108" s="37">
        <f t="shared" si="11"/>
        <v>102.75254237288136</v>
      </c>
      <c r="H108" s="42">
        <f t="shared" si="12"/>
        <v>92.47728813559321</v>
      </c>
    </row>
    <row r="109" spans="2:8" ht="12.75">
      <c r="B109" s="58">
        <v>35</v>
      </c>
      <c r="C109" s="64">
        <v>495.13</v>
      </c>
      <c r="D109" s="59">
        <f t="shared" si="9"/>
        <v>75.52830508474577</v>
      </c>
      <c r="E109" s="64">
        <v>606.24</v>
      </c>
      <c r="F109" s="37">
        <f t="shared" si="10"/>
        <v>92.47728813559321</v>
      </c>
      <c r="G109" s="37">
        <f t="shared" si="11"/>
        <v>102.75254237288136</v>
      </c>
      <c r="H109" s="42">
        <f t="shared" si="12"/>
        <v>92.47728813559321</v>
      </c>
    </row>
    <row r="110" spans="2:8" ht="13.5" thickBot="1">
      <c r="B110" s="65">
        <v>36</v>
      </c>
      <c r="C110" s="66">
        <v>495.13</v>
      </c>
      <c r="D110" s="67">
        <f t="shared" si="9"/>
        <v>75.52830508474577</v>
      </c>
      <c r="E110" s="66">
        <v>606.24</v>
      </c>
      <c r="F110" s="68">
        <f t="shared" si="10"/>
        <v>92.47728813559321</v>
      </c>
      <c r="G110" s="68">
        <f t="shared" si="11"/>
        <v>102.75254237288136</v>
      </c>
      <c r="H110" s="69">
        <f t="shared" si="12"/>
        <v>92.47728813559321</v>
      </c>
    </row>
    <row r="111" spans="3:8" ht="12.75">
      <c r="C111" s="30">
        <f>SUM(C74:C110)</f>
        <v>25474.360000000004</v>
      </c>
      <c r="D111" s="30">
        <f>SUM(D74:D110)</f>
        <v>3885.9193220338966</v>
      </c>
      <c r="E111" s="30">
        <f>SUM(E75:E110)</f>
        <v>25474.320000000025</v>
      </c>
      <c r="F111" s="30">
        <f>SUM(F74:F110)</f>
        <v>3885.913220338985</v>
      </c>
      <c r="G111" s="70">
        <f>SUM(G74:G110)</f>
        <v>4317.681355932201</v>
      </c>
      <c r="H111" s="30">
        <f>SUM(H74:H110)</f>
        <v>3885.913220338985</v>
      </c>
    </row>
    <row r="112" spans="2:7" ht="15.75">
      <c r="B112" s="11"/>
      <c r="G112" s="12"/>
    </row>
    <row r="113" spans="2:7" ht="15.75">
      <c r="B113" s="11"/>
      <c r="G113" s="12"/>
    </row>
    <row r="114" spans="2:7" ht="15.75">
      <c r="B114" s="11"/>
      <c r="G114" s="12"/>
    </row>
    <row r="116" ht="15.75">
      <c r="B116" s="10"/>
    </row>
    <row r="117" ht="15.75">
      <c r="B117" s="11"/>
    </row>
    <row r="118" spans="2:7" ht="15.75">
      <c r="B118" s="11"/>
      <c r="G118" s="12"/>
    </row>
    <row r="119" ht="15.75">
      <c r="B119" s="11"/>
    </row>
    <row r="120" spans="2:7" ht="15.75">
      <c r="B120" s="11"/>
      <c r="G120" s="12"/>
    </row>
    <row r="122" ht="15.75">
      <c r="B122" s="10"/>
    </row>
    <row r="123" ht="15.75">
      <c r="B123" s="10"/>
    </row>
    <row r="124" spans="2:7" ht="15.75">
      <c r="B124" s="11"/>
      <c r="G124" s="12"/>
    </row>
    <row r="125" spans="2:7" ht="15.75">
      <c r="B125" s="11"/>
      <c r="G125" s="12"/>
    </row>
    <row r="126" spans="2:7" ht="15.75">
      <c r="B126" s="11"/>
      <c r="G126" s="12"/>
    </row>
    <row r="129" ht="15.75">
      <c r="B129" s="11"/>
    </row>
    <row r="131" spans="2:7" ht="15.75">
      <c r="B131" s="11"/>
      <c r="G131" s="13"/>
    </row>
    <row r="132" spans="2:7" ht="15.75">
      <c r="B132" s="11"/>
      <c r="G132" s="13"/>
    </row>
    <row r="133" spans="2:7" ht="15.75">
      <c r="B133" s="11"/>
      <c r="G133" s="13"/>
    </row>
  </sheetData>
  <sheetProtection/>
  <mergeCells count="30">
    <mergeCell ref="B25:I25"/>
    <mergeCell ref="J75:M76"/>
    <mergeCell ref="J78:M79"/>
    <mergeCell ref="J81:M84"/>
    <mergeCell ref="J86:M87"/>
    <mergeCell ref="B20:F20"/>
    <mergeCell ref="G20:H20"/>
    <mergeCell ref="I20:J20"/>
    <mergeCell ref="B22:G22"/>
    <mergeCell ref="I22:N23"/>
    <mergeCell ref="B23:G23"/>
    <mergeCell ref="B18:F18"/>
    <mergeCell ref="G18:H18"/>
    <mergeCell ref="I18:J18"/>
    <mergeCell ref="B19:F19"/>
    <mergeCell ref="G19:H19"/>
    <mergeCell ref="I19:J19"/>
    <mergeCell ref="B12:E12"/>
    <mergeCell ref="B16:F16"/>
    <mergeCell ref="G16:H16"/>
    <mergeCell ref="I16:J16"/>
    <mergeCell ref="B17:F17"/>
    <mergeCell ref="G17:H17"/>
    <mergeCell ref="I17:J17"/>
    <mergeCell ref="B2:N2"/>
    <mergeCell ref="B4:I4"/>
    <mergeCell ref="B5:I5"/>
    <mergeCell ref="B9:E9"/>
    <mergeCell ref="B10:E10"/>
    <mergeCell ref="B11:E1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Сравнение фактических затрат на покупку спецтехники в кредит и по договору лизинга</dc:title>
  <dc:subject/>
  <dc:creator>ДВЛК</dc:creator>
  <cp:keywords/>
  <dc:description/>
  <cp:lastModifiedBy>user</cp:lastModifiedBy>
  <cp:lastPrinted>2009-01-20T05:20:38Z</cp:lastPrinted>
  <dcterms:created xsi:type="dcterms:W3CDTF">1996-10-08T23:32:33Z</dcterms:created>
  <dcterms:modified xsi:type="dcterms:W3CDTF">2011-02-05T14:02:55Z</dcterms:modified>
  <cp:category/>
  <cp:version/>
  <cp:contentType/>
  <cp:contentStatus/>
</cp:coreProperties>
</file>